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/>
  <mc:AlternateContent xmlns:mc="http://schemas.openxmlformats.org/markup-compatibility/2006">
    <mc:Choice Requires="x15">
      <x15ac:absPath xmlns:x15ac="http://schemas.microsoft.com/office/spreadsheetml/2010/11/ac" url="/Users/nathandracobly/Desktop/"/>
    </mc:Choice>
  </mc:AlternateContent>
  <xr:revisionPtr revIDLastSave="0" documentId="8_{1E125E54-C121-7241-9D5A-3BC280963848}" xr6:coauthVersionLast="47" xr6:coauthVersionMax="47" xr10:uidLastSave="{00000000-0000-0000-0000-000000000000}"/>
  <bookViews>
    <workbookView xWindow="0" yWindow="0" windowWidth="28800" windowHeight="18000" activeTab="1" xr2:uid="{567A56C4-5018-0F4C-B531-763C7A68DFB9}"/>
    <workbookView xWindow="0" yWindow="0" windowWidth="28800" windowHeight="18000" activeTab="7" xr2:uid="{7DE30725-550E-4090-B8B5-82426E0F97F2}"/>
  </bookViews>
  <sheets>
    <sheet name="overveiw" sheetId="1" r:id="rId1"/>
    <sheet name="FCFF model" sheetId="14" r:id="rId2"/>
    <sheet name="WACC" sheetId="15" r:id="rId3"/>
    <sheet name="Data Quarters" sheetId="2" r:id="rId4"/>
    <sheet name="data year model" sheetId="12" r:id="rId5"/>
    <sheet name="Rev model" sheetId="3" r:id="rId6"/>
    <sheet name="Elastcity assumption" sheetId="22" r:id="rId7"/>
    <sheet name="volumes of beer" sheetId="7" r:id="rId8"/>
    <sheet name="cap table pie chart " sheetId="19" r:id="rId9"/>
    <sheet name="beer volums chart" sheetId="17" r:id="rId10"/>
    <sheet name="net sales chart" sheetId="18" r:id="rId11"/>
    <sheet name="demographic charts " sheetId="24" r:id="rId12"/>
    <sheet name="stz chart of volume and share " sheetId="11" r:id="rId13"/>
    <sheet name="PV FCFF &amp; PV TV" sheetId="23" r:id="rId1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6" i="14" l="1"/>
  <c r="I145" i="14"/>
  <c r="I127" i="14"/>
  <c r="I136" i="14"/>
  <c r="I118" i="14"/>
  <c r="K113" i="14"/>
  <c r="K109" i="14"/>
  <c r="K50" i="14"/>
  <c r="J49" i="14"/>
  <c r="L50" i="14"/>
  <c r="M50" i="14"/>
  <c r="N50" i="14"/>
  <c r="O50" i="14"/>
  <c r="P50" i="14"/>
  <c r="O121" i="14"/>
  <c r="E6" i="15"/>
  <c r="D138" i="12"/>
  <c r="E137" i="12"/>
  <c r="F137" i="12"/>
  <c r="G137" i="12"/>
  <c r="H137" i="12"/>
  <c r="I137" i="12"/>
  <c r="J137" i="12"/>
  <c r="K137" i="12"/>
  <c r="L137" i="12"/>
  <c r="M137" i="12"/>
  <c r="N137" i="12"/>
  <c r="D137" i="12"/>
  <c r="E136" i="12"/>
  <c r="F136" i="12"/>
  <c r="G136" i="12"/>
  <c r="H136" i="12"/>
  <c r="I136" i="12"/>
  <c r="J136" i="12"/>
  <c r="K136" i="12"/>
  <c r="L136" i="12"/>
  <c r="M136" i="12"/>
  <c r="N136" i="12"/>
  <c r="D136" i="12"/>
  <c r="K87" i="12"/>
  <c r="K91" i="14"/>
  <c r="K99" i="14" s="1"/>
  <c r="F9" i="22"/>
  <c r="E88" i="12"/>
  <c r="K94" i="14"/>
  <c r="I125" i="14"/>
  <c r="I134" i="14" s="1"/>
  <c r="I143" i="14" s="1"/>
  <c r="O125" i="14"/>
  <c r="L66" i="14"/>
  <c r="M66" i="14"/>
  <c r="N66" i="14"/>
  <c r="O66" i="14"/>
  <c r="P66" i="14"/>
  <c r="K66" i="14"/>
  <c r="L63" i="14"/>
  <c r="M63" i="14"/>
  <c r="N63" i="14"/>
  <c r="O63" i="14"/>
  <c r="P63" i="14"/>
  <c r="K63" i="14"/>
  <c r="N7" i="15"/>
  <c r="N8" i="15"/>
  <c r="N6" i="15"/>
  <c r="N5" i="15"/>
  <c r="N20" i="15"/>
  <c r="N9" i="15"/>
  <c r="N10" i="15"/>
  <c r="N11" i="15"/>
  <c r="N12" i="15"/>
  <c r="N13" i="15"/>
  <c r="N14" i="15"/>
  <c r="N15" i="15"/>
  <c r="N16" i="15"/>
  <c r="N17" i="15"/>
  <c r="N18" i="15"/>
  <c r="N19" i="15"/>
  <c r="R5" i="15"/>
  <c r="H14" i="1"/>
  <c r="E14" i="15"/>
  <c r="E44" i="15"/>
  <c r="E45" i="15"/>
  <c r="L94" i="14"/>
  <c r="M94" i="14" s="1"/>
  <c r="N94" i="14" s="1"/>
  <c r="O94" i="14" s="1"/>
  <c r="P94" i="14" s="1"/>
  <c r="C100" i="14"/>
  <c r="D100" i="14"/>
  <c r="E100" i="14"/>
  <c r="F100" i="14"/>
  <c r="G100" i="14"/>
  <c r="H100" i="14"/>
  <c r="I100" i="14"/>
  <c r="J100" i="14"/>
  <c r="B100" i="14"/>
  <c r="B71" i="14"/>
  <c r="B85" i="14" s="1"/>
  <c r="B45" i="14"/>
  <c r="B94" i="14" s="1"/>
  <c r="F27" i="12"/>
  <c r="C71" i="14"/>
  <c r="C85" i="14" s="1"/>
  <c r="F10" i="12"/>
  <c r="F129" i="12"/>
  <c r="D129" i="12"/>
  <c r="E129" i="12"/>
  <c r="G129" i="12"/>
  <c r="H129" i="12"/>
  <c r="I129" i="12"/>
  <c r="J129" i="12"/>
  <c r="K129" i="12"/>
  <c r="L129" i="12"/>
  <c r="M129" i="12"/>
  <c r="N129" i="12"/>
  <c r="D71" i="14"/>
  <c r="E71" i="14"/>
  <c r="E85" i="14" s="1"/>
  <c r="F71" i="14"/>
  <c r="F85" i="14" s="1"/>
  <c r="G71" i="14"/>
  <c r="G85" i="14" s="1"/>
  <c r="H71" i="14"/>
  <c r="I71" i="14"/>
  <c r="I85" i="14" s="1"/>
  <c r="J71" i="14"/>
  <c r="J85" i="14" s="1"/>
  <c r="C57" i="14"/>
  <c r="D57" i="14"/>
  <c r="E57" i="14"/>
  <c r="F57" i="14"/>
  <c r="G57" i="14"/>
  <c r="H57" i="14"/>
  <c r="I57" i="14"/>
  <c r="J57" i="14"/>
  <c r="B57" i="14"/>
  <c r="C54" i="14"/>
  <c r="D54" i="14"/>
  <c r="E54" i="14"/>
  <c r="F54" i="14"/>
  <c r="G54" i="14"/>
  <c r="H54" i="14"/>
  <c r="I54" i="14"/>
  <c r="J54" i="14"/>
  <c r="B54" i="14"/>
  <c r="C45" i="14"/>
  <c r="C94" i="14" s="1"/>
  <c r="D45" i="14"/>
  <c r="D79" i="14" s="1"/>
  <c r="E45" i="14"/>
  <c r="E79" i="14" s="1"/>
  <c r="F45" i="14"/>
  <c r="F79" i="14" s="1"/>
  <c r="G45" i="14"/>
  <c r="G79" i="14" s="1"/>
  <c r="H45" i="14"/>
  <c r="H79" i="14" s="1"/>
  <c r="I45" i="14"/>
  <c r="I79" i="14" s="1"/>
  <c r="J45" i="14"/>
  <c r="J79" i="14" s="1"/>
  <c r="J43" i="14"/>
  <c r="J33" i="14"/>
  <c r="C33" i="14"/>
  <c r="D33" i="14"/>
  <c r="E33" i="14"/>
  <c r="F33" i="14"/>
  <c r="G33" i="14"/>
  <c r="H33" i="14"/>
  <c r="I33" i="14"/>
  <c r="B33" i="14"/>
  <c r="N40" i="3"/>
  <c r="J31" i="14"/>
  <c r="I31" i="14"/>
  <c r="H31" i="14"/>
  <c r="G31" i="14"/>
  <c r="F31" i="14"/>
  <c r="E31" i="14"/>
  <c r="D31" i="14"/>
  <c r="C31" i="14"/>
  <c r="D39" i="14"/>
  <c r="E39" i="14"/>
  <c r="F39" i="14"/>
  <c r="G39" i="14"/>
  <c r="H39" i="14"/>
  <c r="I39" i="14"/>
  <c r="J39" i="14"/>
  <c r="C39" i="14"/>
  <c r="F36" i="3"/>
  <c r="I43" i="14"/>
  <c r="H43" i="14"/>
  <c r="G43" i="14"/>
  <c r="F43" i="14"/>
  <c r="E43" i="14"/>
  <c r="D43" i="14"/>
  <c r="C43" i="14"/>
  <c r="C27" i="14"/>
  <c r="D27" i="14"/>
  <c r="E27" i="14"/>
  <c r="F27" i="14"/>
  <c r="G27" i="14"/>
  <c r="H27" i="14"/>
  <c r="I27" i="14"/>
  <c r="J27" i="14"/>
  <c r="B27" i="14"/>
  <c r="P11" i="14"/>
  <c r="O11" i="14"/>
  <c r="N11" i="14"/>
  <c r="M11" i="14"/>
  <c r="L11" i="14"/>
  <c r="K11" i="14"/>
  <c r="J11" i="14"/>
  <c r="H11" i="14"/>
  <c r="G11" i="14"/>
  <c r="F11" i="14"/>
  <c r="E11" i="14"/>
  <c r="D11" i="14"/>
  <c r="C11" i="14"/>
  <c r="B11" i="14"/>
  <c r="P10" i="14"/>
  <c r="O10" i="14"/>
  <c r="N10" i="14"/>
  <c r="M10" i="14"/>
  <c r="L10" i="14"/>
  <c r="K10" i="14"/>
  <c r="J10" i="14"/>
  <c r="H10" i="14"/>
  <c r="G10" i="14"/>
  <c r="F10" i="14"/>
  <c r="E10" i="14"/>
  <c r="D10" i="14"/>
  <c r="C10" i="14"/>
  <c r="B10" i="14"/>
  <c r="P8" i="14"/>
  <c r="O8" i="14"/>
  <c r="N8" i="14"/>
  <c r="M8" i="14"/>
  <c r="L8" i="14"/>
  <c r="K8" i="14"/>
  <c r="J8" i="14"/>
  <c r="H8" i="14"/>
  <c r="G8" i="14"/>
  <c r="F8" i="14"/>
  <c r="E8" i="14"/>
  <c r="D8" i="14"/>
  <c r="C8" i="14"/>
  <c r="B8" i="14"/>
  <c r="H7" i="14"/>
  <c r="G7" i="14"/>
  <c r="F7" i="14"/>
  <c r="E7" i="14"/>
  <c r="D7" i="14"/>
  <c r="C7" i="14"/>
  <c r="I6" i="14"/>
  <c r="I10" i="14" s="1"/>
  <c r="P5" i="14"/>
  <c r="O5" i="14"/>
  <c r="N5" i="14"/>
  <c r="M5" i="14"/>
  <c r="L5" i="14"/>
  <c r="K5" i="14"/>
  <c r="H5" i="14"/>
  <c r="G5" i="14"/>
  <c r="F5" i="14"/>
  <c r="E5" i="14"/>
  <c r="D5" i="14"/>
  <c r="C5" i="14"/>
  <c r="I4" i="14"/>
  <c r="J5" i="14" s="1"/>
  <c r="J22" i="14"/>
  <c r="J23" i="14" s="1"/>
  <c r="I25" i="14"/>
  <c r="F80" i="7"/>
  <c r="G80" i="7"/>
  <c r="H80" i="7"/>
  <c r="I80" i="7"/>
  <c r="J80" i="7"/>
  <c r="K80" i="7"/>
  <c r="L80" i="7"/>
  <c r="M80" i="7"/>
  <c r="E80" i="7"/>
  <c r="M68" i="7"/>
  <c r="I22" i="14"/>
  <c r="I23" i="14" s="1"/>
  <c r="H22" i="14"/>
  <c r="H23" i="14" s="1"/>
  <c r="G22" i="14"/>
  <c r="G23" i="14" s="1"/>
  <c r="F22" i="14"/>
  <c r="F23" i="14" s="1"/>
  <c r="E22" i="14"/>
  <c r="E23" i="14" s="1"/>
  <c r="D22" i="14"/>
  <c r="D23" i="14" s="1"/>
  <c r="C22" i="14"/>
  <c r="C23" i="14" s="1"/>
  <c r="B22" i="14"/>
  <c r="B23" i="14" s="1"/>
  <c r="J25" i="14"/>
  <c r="H25" i="14"/>
  <c r="G25" i="14"/>
  <c r="F25" i="14"/>
  <c r="E25" i="14"/>
  <c r="D25" i="14"/>
  <c r="C25" i="14"/>
  <c r="D19" i="14"/>
  <c r="E19" i="14"/>
  <c r="F19" i="14"/>
  <c r="G19" i="14"/>
  <c r="H19" i="14"/>
  <c r="I19" i="14"/>
  <c r="J19" i="14"/>
  <c r="C19" i="14"/>
  <c r="O138" i="12"/>
  <c r="T131" i="12"/>
  <c r="T138" i="12" s="1"/>
  <c r="O140" i="12" s="1"/>
  <c r="O141" i="12" s="1"/>
  <c r="P138" i="12"/>
  <c r="Q138" i="12"/>
  <c r="R138" i="12"/>
  <c r="S138" i="12"/>
  <c r="P93" i="12"/>
  <c r="Q93" i="12"/>
  <c r="R93" i="12"/>
  <c r="S93" i="12"/>
  <c r="T93" i="12"/>
  <c r="U93" i="12"/>
  <c r="V93" i="12"/>
  <c r="W93" i="12"/>
  <c r="X93" i="12"/>
  <c r="O93" i="12"/>
  <c r="P131" i="12"/>
  <c r="Q131" i="12"/>
  <c r="R131" i="12"/>
  <c r="S131" i="12"/>
  <c r="O131" i="12"/>
  <c r="N131" i="12"/>
  <c r="N34" i="12"/>
  <c r="E130" i="12"/>
  <c r="F130" i="12"/>
  <c r="G130" i="12"/>
  <c r="H130" i="12"/>
  <c r="I130" i="12"/>
  <c r="J130" i="12"/>
  <c r="K130" i="12"/>
  <c r="L130" i="12"/>
  <c r="M130" i="12"/>
  <c r="N130" i="12"/>
  <c r="D130" i="12"/>
  <c r="N27" i="3"/>
  <c r="N31" i="3"/>
  <c r="L32" i="15"/>
  <c r="F38" i="15" s="1"/>
  <c r="E20" i="15"/>
  <c r="F36" i="15" s="1"/>
  <c r="D116" i="12"/>
  <c r="E116" i="12"/>
  <c r="F116" i="12"/>
  <c r="G116" i="12"/>
  <c r="H116" i="12"/>
  <c r="I116" i="12"/>
  <c r="J116" i="12"/>
  <c r="K116" i="12"/>
  <c r="L116" i="12"/>
  <c r="M116" i="12"/>
  <c r="N116" i="12"/>
  <c r="D87" i="12"/>
  <c r="E87" i="12"/>
  <c r="F87" i="12"/>
  <c r="G87" i="12"/>
  <c r="H87" i="12"/>
  <c r="I87" i="12"/>
  <c r="J87" i="12"/>
  <c r="L87" i="12"/>
  <c r="M87" i="12"/>
  <c r="N77" i="12"/>
  <c r="N87" i="12" s="1"/>
  <c r="G98" i="12"/>
  <c r="H98" i="12"/>
  <c r="I98" i="12"/>
  <c r="J98" i="12"/>
  <c r="K98" i="12"/>
  <c r="L98" i="12"/>
  <c r="M98" i="12"/>
  <c r="N98" i="12"/>
  <c r="F98" i="12"/>
  <c r="E98" i="12"/>
  <c r="D98" i="12"/>
  <c r="E133" i="12"/>
  <c r="F133" i="12"/>
  <c r="G133" i="12"/>
  <c r="H133" i="12"/>
  <c r="I133" i="12"/>
  <c r="J133" i="12"/>
  <c r="K133" i="12"/>
  <c r="L133" i="12"/>
  <c r="M133" i="12"/>
  <c r="N133" i="12"/>
  <c r="D133" i="12"/>
  <c r="S4" i="2"/>
  <c r="E34" i="12"/>
  <c r="F34" i="12"/>
  <c r="G34" i="12"/>
  <c r="H34" i="12"/>
  <c r="I34" i="12"/>
  <c r="J34" i="12"/>
  <c r="K34" i="12"/>
  <c r="L34" i="12"/>
  <c r="M34" i="12"/>
  <c r="O34" i="12"/>
  <c r="P34" i="12"/>
  <c r="Q34" i="12"/>
  <c r="R34" i="12"/>
  <c r="S34" i="12"/>
  <c r="T34" i="12"/>
  <c r="U34" i="12"/>
  <c r="V34" i="12"/>
  <c r="W34" i="12"/>
  <c r="X34" i="12"/>
  <c r="D34" i="12"/>
  <c r="O8" i="12"/>
  <c r="O10" i="12" s="1"/>
  <c r="O16" i="12" s="1"/>
  <c r="O20" i="12" s="1"/>
  <c r="P8" i="12"/>
  <c r="P10" i="12" s="1"/>
  <c r="P16" i="12" s="1"/>
  <c r="P20" i="12" s="1"/>
  <c r="Q8" i="12"/>
  <c r="Q10" i="12" s="1"/>
  <c r="Q16" i="12" s="1"/>
  <c r="Q20" i="12" s="1"/>
  <c r="R8" i="12"/>
  <c r="R10" i="12" s="1"/>
  <c r="R16" i="12" s="1"/>
  <c r="R20" i="12" s="1"/>
  <c r="S8" i="12"/>
  <c r="S10" i="12" s="1"/>
  <c r="S16" i="12" s="1"/>
  <c r="S20" i="12" s="1"/>
  <c r="T8" i="12"/>
  <c r="T10" i="12" s="1"/>
  <c r="T16" i="12" s="1"/>
  <c r="T20" i="12" s="1"/>
  <c r="U8" i="12"/>
  <c r="U10" i="12" s="1"/>
  <c r="U16" i="12" s="1"/>
  <c r="U20" i="12" s="1"/>
  <c r="V8" i="12"/>
  <c r="V10" i="12" s="1"/>
  <c r="V16" i="12" s="1"/>
  <c r="V20" i="12" s="1"/>
  <c r="W8" i="12"/>
  <c r="W10" i="12" s="1"/>
  <c r="W16" i="12" s="1"/>
  <c r="W20" i="12" s="1"/>
  <c r="X8" i="12"/>
  <c r="X10" i="12" s="1"/>
  <c r="X16" i="12" s="1"/>
  <c r="X20" i="12" s="1"/>
  <c r="E8" i="12"/>
  <c r="E10" i="12" s="1"/>
  <c r="E16" i="12" s="1"/>
  <c r="E20" i="12" s="1"/>
  <c r="F8" i="12"/>
  <c r="F16" i="12" s="1"/>
  <c r="G8" i="12"/>
  <c r="G10" i="12" s="1"/>
  <c r="H8" i="12"/>
  <c r="H10" i="12" s="1"/>
  <c r="H16" i="12" s="1"/>
  <c r="H20" i="12" s="1"/>
  <c r="I8" i="12"/>
  <c r="I10" i="12" s="1"/>
  <c r="I16" i="12" s="1"/>
  <c r="I20" i="12" s="1"/>
  <c r="J8" i="12"/>
  <c r="J10" i="12" s="1"/>
  <c r="J16" i="12" s="1"/>
  <c r="J20" i="12" s="1"/>
  <c r="K8" i="12"/>
  <c r="K10" i="12" s="1"/>
  <c r="K16" i="12" s="1"/>
  <c r="K20" i="12" s="1"/>
  <c r="L8" i="12"/>
  <c r="L10" i="12" s="1"/>
  <c r="L16" i="12" s="1"/>
  <c r="L20" i="12" s="1"/>
  <c r="M8" i="12"/>
  <c r="M10" i="12" s="1"/>
  <c r="M16" i="12" s="1"/>
  <c r="M20" i="12" s="1"/>
  <c r="N8" i="12"/>
  <c r="N10" i="12" s="1"/>
  <c r="N16" i="12" s="1"/>
  <c r="N20" i="12" s="1"/>
  <c r="D8" i="12"/>
  <c r="D10" i="12" s="1"/>
  <c r="D16" i="12" s="1"/>
  <c r="D20" i="12" s="1"/>
  <c r="E79" i="7"/>
  <c r="M79" i="7"/>
  <c r="G79" i="7"/>
  <c r="H79" i="7"/>
  <c r="I79" i="7"/>
  <c r="J79" i="7"/>
  <c r="K79" i="7"/>
  <c r="L79" i="7"/>
  <c r="F79" i="7"/>
  <c r="M78" i="7"/>
  <c r="M59" i="7"/>
  <c r="M61" i="7" s="1"/>
  <c r="M48" i="7"/>
  <c r="M49" i="7" s="1"/>
  <c r="M91" i="7" s="1"/>
  <c r="M50" i="7"/>
  <c r="M26" i="7"/>
  <c r="M30" i="7" s="1"/>
  <c r="M32" i="7"/>
  <c r="M29" i="7"/>
  <c r="M74" i="7"/>
  <c r="F67" i="7"/>
  <c r="G67" i="7"/>
  <c r="H67" i="7"/>
  <c r="I67" i="7"/>
  <c r="J67" i="7"/>
  <c r="K67" i="7"/>
  <c r="K68" i="7" s="1"/>
  <c r="L67" i="7"/>
  <c r="M67" i="7"/>
  <c r="E67" i="7"/>
  <c r="F74" i="7"/>
  <c r="G74" i="7"/>
  <c r="H74" i="7"/>
  <c r="I74" i="7"/>
  <c r="J74" i="7"/>
  <c r="K74" i="7"/>
  <c r="L74" i="7"/>
  <c r="E74" i="7"/>
  <c r="F42" i="7"/>
  <c r="G42" i="7"/>
  <c r="G103" i="7" s="1"/>
  <c r="H42" i="7"/>
  <c r="H103" i="7" s="1"/>
  <c r="I42" i="7"/>
  <c r="I103" i="7" s="1"/>
  <c r="J42" i="7"/>
  <c r="K42" i="7"/>
  <c r="L42" i="7"/>
  <c r="M42" i="7"/>
  <c r="M103" i="7" s="1"/>
  <c r="E42" i="7"/>
  <c r="E103" i="7" s="1"/>
  <c r="F37" i="7"/>
  <c r="F99" i="7" s="1"/>
  <c r="G37" i="7"/>
  <c r="G99" i="7" s="1"/>
  <c r="H37" i="7"/>
  <c r="H99" i="7" s="1"/>
  <c r="I37" i="7"/>
  <c r="J37" i="7"/>
  <c r="J99" i="7" s="1"/>
  <c r="K37" i="7"/>
  <c r="K99" i="7" s="1"/>
  <c r="L37" i="7"/>
  <c r="L99" i="7" s="1"/>
  <c r="M37" i="7"/>
  <c r="M99" i="7" s="1"/>
  <c r="E37" i="7"/>
  <c r="E99" i="7" s="1"/>
  <c r="G26" i="7"/>
  <c r="G30" i="7" s="1"/>
  <c r="F26" i="7"/>
  <c r="F30" i="7" s="1"/>
  <c r="H26" i="7"/>
  <c r="H30" i="7" s="1"/>
  <c r="I26" i="7"/>
  <c r="I30" i="7" s="1"/>
  <c r="J26" i="7"/>
  <c r="J30" i="7" s="1"/>
  <c r="K26" i="7"/>
  <c r="K30" i="7" s="1"/>
  <c r="L26" i="7"/>
  <c r="L30" i="7" s="1"/>
  <c r="E26" i="7"/>
  <c r="E30" i="7" s="1"/>
  <c r="F59" i="7"/>
  <c r="F60" i="7" s="1"/>
  <c r="F87" i="7" s="1"/>
  <c r="G59" i="7"/>
  <c r="G60" i="7" s="1"/>
  <c r="G87" i="7" s="1"/>
  <c r="H59" i="7"/>
  <c r="H60" i="7" s="1"/>
  <c r="H87" i="7" s="1"/>
  <c r="I59" i="7"/>
  <c r="I60" i="7" s="1"/>
  <c r="I87" i="7" s="1"/>
  <c r="J59" i="7"/>
  <c r="J60" i="7" s="1"/>
  <c r="J87" i="7" s="1"/>
  <c r="K59" i="7"/>
  <c r="K60" i="7" s="1"/>
  <c r="K87" i="7" s="1"/>
  <c r="L59" i="7"/>
  <c r="L60" i="7" s="1"/>
  <c r="L87" i="7" s="1"/>
  <c r="E59" i="7"/>
  <c r="E60" i="7" s="1"/>
  <c r="E87" i="7" s="1"/>
  <c r="G50" i="7"/>
  <c r="H50" i="7"/>
  <c r="I50" i="7"/>
  <c r="J50" i="7"/>
  <c r="K50" i="7"/>
  <c r="L50" i="7"/>
  <c r="F50" i="7"/>
  <c r="F48" i="7"/>
  <c r="F49" i="7" s="1"/>
  <c r="F91" i="7" s="1"/>
  <c r="G48" i="7"/>
  <c r="G49" i="7" s="1"/>
  <c r="G91" i="7" s="1"/>
  <c r="H48" i="7"/>
  <c r="H49" i="7" s="1"/>
  <c r="H91" i="7" s="1"/>
  <c r="I48" i="7"/>
  <c r="I49" i="7" s="1"/>
  <c r="I91" i="7" s="1"/>
  <c r="J48" i="7"/>
  <c r="J49" i="7" s="1"/>
  <c r="J91" i="7" s="1"/>
  <c r="K48" i="7"/>
  <c r="K49" i="7" s="1"/>
  <c r="K91" i="7" s="1"/>
  <c r="L48" i="7"/>
  <c r="L49" i="7" s="1"/>
  <c r="L91" i="7" s="1"/>
  <c r="E48" i="7"/>
  <c r="E49" i="7" s="1"/>
  <c r="E91" i="7" s="1"/>
  <c r="E92" i="7" s="1"/>
  <c r="H17" i="7"/>
  <c r="H18" i="7" s="1"/>
  <c r="H95" i="7" s="1"/>
  <c r="F29" i="7"/>
  <c r="G29" i="7"/>
  <c r="H29" i="7"/>
  <c r="I29" i="7"/>
  <c r="J29" i="7"/>
  <c r="K29" i="7"/>
  <c r="L29" i="7"/>
  <c r="E29" i="7"/>
  <c r="H32" i="7"/>
  <c r="J32" i="7"/>
  <c r="F32" i="7"/>
  <c r="G32" i="7"/>
  <c r="K32" i="7"/>
  <c r="L32" i="7"/>
  <c r="K16" i="7"/>
  <c r="K17" i="7" s="1"/>
  <c r="K18" i="7" s="1"/>
  <c r="K95" i="7" s="1"/>
  <c r="J17" i="7"/>
  <c r="J18" i="7" s="1"/>
  <c r="J95" i="7" s="1"/>
  <c r="G16" i="7"/>
  <c r="G17" i="7" s="1"/>
  <c r="G18" i="7" s="1"/>
  <c r="G95" i="7" s="1"/>
  <c r="F10" i="7"/>
  <c r="F78" i="7" s="1"/>
  <c r="G10" i="7"/>
  <c r="G78" i="7" s="1"/>
  <c r="H10" i="7"/>
  <c r="H78" i="7" s="1"/>
  <c r="I10" i="7"/>
  <c r="I78" i="7" s="1"/>
  <c r="J10" i="7"/>
  <c r="J78" i="7" s="1"/>
  <c r="K10" i="7"/>
  <c r="K78" i="7" s="1"/>
  <c r="L10" i="7"/>
  <c r="L78" i="7" s="1"/>
  <c r="M10" i="7"/>
  <c r="E10" i="7"/>
  <c r="E78" i="7" s="1"/>
  <c r="F17" i="7"/>
  <c r="F18" i="7" s="1"/>
  <c r="F95" i="7" s="1"/>
  <c r="I17" i="7"/>
  <c r="I18" i="7" s="1"/>
  <c r="I95" i="7" s="1"/>
  <c r="L17" i="7"/>
  <c r="L18" i="7" s="1"/>
  <c r="L95" i="7" s="1"/>
  <c r="M17" i="7"/>
  <c r="M18" i="7" s="1"/>
  <c r="M95" i="7" s="1"/>
  <c r="E17" i="7"/>
  <c r="E18" i="7" s="1"/>
  <c r="E95" i="7" s="1"/>
  <c r="S13" i="7"/>
  <c r="S7" i="7"/>
  <c r="S5" i="7"/>
  <c r="G11" i="7"/>
  <c r="H11" i="7"/>
  <c r="I11" i="7"/>
  <c r="J11" i="7"/>
  <c r="K11" i="7"/>
  <c r="L11" i="7"/>
  <c r="M11" i="7"/>
  <c r="F11" i="7"/>
  <c r="G5" i="7"/>
  <c r="H5" i="7"/>
  <c r="I5" i="7"/>
  <c r="J5" i="7"/>
  <c r="K5" i="7"/>
  <c r="L5" i="7"/>
  <c r="M5" i="7"/>
  <c r="F5" i="7"/>
  <c r="G27" i="3"/>
  <c r="H27" i="3"/>
  <c r="I27" i="3"/>
  <c r="J27" i="3"/>
  <c r="K27" i="3"/>
  <c r="L27" i="3"/>
  <c r="M27" i="3"/>
  <c r="F27" i="3"/>
  <c r="G36" i="3"/>
  <c r="H36" i="3"/>
  <c r="I36" i="3"/>
  <c r="J36" i="3"/>
  <c r="K36" i="3"/>
  <c r="L36" i="3"/>
  <c r="M36" i="3"/>
  <c r="O42" i="3"/>
  <c r="P42" i="3"/>
  <c r="Q42" i="3"/>
  <c r="R42" i="3"/>
  <c r="N42" i="3"/>
  <c r="H41" i="3"/>
  <c r="E41" i="3"/>
  <c r="F41" i="3"/>
  <c r="G41" i="3"/>
  <c r="I41" i="3"/>
  <c r="J41" i="3"/>
  <c r="K41" i="3"/>
  <c r="L41" i="3"/>
  <c r="M41" i="3"/>
  <c r="N41" i="3" s="1"/>
  <c r="O41" i="3" s="1"/>
  <c r="P41" i="3" s="1"/>
  <c r="Q41" i="3" s="1"/>
  <c r="R41" i="3" s="1"/>
  <c r="M32" i="3"/>
  <c r="N32" i="3" s="1"/>
  <c r="O32" i="3" s="1"/>
  <c r="P32" i="3" s="1"/>
  <c r="Q32" i="3" s="1"/>
  <c r="R32" i="3" s="1"/>
  <c r="G40" i="3"/>
  <c r="H40" i="3"/>
  <c r="I40" i="3"/>
  <c r="F40" i="3"/>
  <c r="K40" i="3"/>
  <c r="L40" i="3"/>
  <c r="M40" i="3"/>
  <c r="J40" i="3"/>
  <c r="F45" i="3"/>
  <c r="G45" i="3"/>
  <c r="H45" i="3"/>
  <c r="I45" i="3"/>
  <c r="J45" i="3"/>
  <c r="K45" i="3"/>
  <c r="E45" i="3"/>
  <c r="G47" i="3"/>
  <c r="H47" i="3"/>
  <c r="I47" i="3"/>
  <c r="J47" i="3"/>
  <c r="K47" i="3"/>
  <c r="E47" i="3"/>
  <c r="F47" i="3"/>
  <c r="M45" i="3"/>
  <c r="L45" i="3"/>
  <c r="M47" i="3"/>
  <c r="L47" i="3"/>
  <c r="H32" i="3"/>
  <c r="I32" i="3"/>
  <c r="I33" i="3" s="1"/>
  <c r="H31" i="3"/>
  <c r="F32" i="3"/>
  <c r="G32" i="3"/>
  <c r="G33" i="3" s="1"/>
  <c r="J32" i="3"/>
  <c r="J33" i="3" s="1"/>
  <c r="E32" i="3"/>
  <c r="F33" i="3" s="1"/>
  <c r="G31" i="3"/>
  <c r="I31" i="3"/>
  <c r="J31" i="3"/>
  <c r="K31" i="3"/>
  <c r="F31" i="3"/>
  <c r="M31" i="3"/>
  <c r="O31" i="3" s="1"/>
  <c r="P31" i="3" s="1"/>
  <c r="Q31" i="3" s="1"/>
  <c r="R31" i="3" s="1"/>
  <c r="L32" i="3"/>
  <c r="K32" i="3"/>
  <c r="L31" i="3"/>
  <c r="L13" i="3"/>
  <c r="L15" i="3" s="1"/>
  <c r="J15" i="3"/>
  <c r="J22" i="3" s="1"/>
  <c r="I13" i="3"/>
  <c r="I15" i="3" s="1"/>
  <c r="I22" i="3" s="1"/>
  <c r="G12" i="3"/>
  <c r="H12" i="3"/>
  <c r="I12" i="3"/>
  <c r="J12" i="3"/>
  <c r="K12" i="3"/>
  <c r="L12" i="3"/>
  <c r="M12" i="3"/>
  <c r="F12" i="3"/>
  <c r="G10" i="3"/>
  <c r="H10" i="3"/>
  <c r="I10" i="3"/>
  <c r="J10" i="3"/>
  <c r="K10" i="3"/>
  <c r="L10" i="3"/>
  <c r="M10" i="3"/>
  <c r="F10" i="3"/>
  <c r="G7" i="3"/>
  <c r="H7" i="3"/>
  <c r="I7" i="3"/>
  <c r="J7" i="3"/>
  <c r="K7" i="3"/>
  <c r="L7" i="3"/>
  <c r="M7" i="3"/>
  <c r="F7" i="3"/>
  <c r="F13" i="3"/>
  <c r="F15" i="3" s="1"/>
  <c r="G13" i="3"/>
  <c r="G15" i="3" s="1"/>
  <c r="H13" i="3"/>
  <c r="H15" i="3" s="1"/>
  <c r="J13" i="3"/>
  <c r="K13" i="3"/>
  <c r="K15" i="3" s="1"/>
  <c r="K22" i="3" s="1"/>
  <c r="M13" i="3"/>
  <c r="M15" i="3" s="1"/>
  <c r="M21" i="3" s="1"/>
  <c r="E13" i="3"/>
  <c r="E15" i="3" s="1"/>
  <c r="E22" i="3" s="1"/>
  <c r="S25" i="2"/>
  <c r="S24" i="2"/>
  <c r="S26" i="2" s="1"/>
  <c r="S21" i="2"/>
  <c r="S19" i="2"/>
  <c r="S16" i="2"/>
  <c r="S15" i="2"/>
  <c r="S11" i="2"/>
  <c r="S9" i="2"/>
  <c r="S7" i="2"/>
  <c r="S6" i="2"/>
  <c r="S8" i="2" s="1"/>
  <c r="S14" i="2" s="1"/>
  <c r="S18" i="2" s="1"/>
  <c r="S20" i="2" s="1"/>
  <c r="S22" i="2" s="1"/>
  <c r="S5" i="2"/>
  <c r="R14" i="2"/>
  <c r="I18" i="2"/>
  <c r="K26" i="2"/>
  <c r="K24" i="2"/>
  <c r="K23" i="2"/>
  <c r="K22" i="2"/>
  <c r="K20" i="2"/>
  <c r="K18" i="2"/>
  <c r="K16" i="2"/>
  <c r="K15" i="2"/>
  <c r="K14" i="2"/>
  <c r="K9" i="2"/>
  <c r="K8" i="2"/>
  <c r="K7" i="2"/>
  <c r="K6" i="2"/>
  <c r="K5" i="2"/>
  <c r="K4" i="2"/>
  <c r="O26" i="2"/>
  <c r="O24" i="2"/>
  <c r="O23" i="2" s="1"/>
  <c r="O22" i="2"/>
  <c r="O21" i="2"/>
  <c r="O19" i="2"/>
  <c r="O18" i="2"/>
  <c r="O16" i="2"/>
  <c r="O15" i="2"/>
  <c r="O9" i="2"/>
  <c r="O8" i="2"/>
  <c r="O7" i="2"/>
  <c r="O6" i="2"/>
  <c r="O5" i="2"/>
  <c r="O4" i="2"/>
  <c r="G4" i="2"/>
  <c r="E14" i="2"/>
  <c r="F14" i="2"/>
  <c r="H14" i="2"/>
  <c r="I14" i="2"/>
  <c r="J14" i="2"/>
  <c r="D14" i="2"/>
  <c r="H26" i="2"/>
  <c r="H6" i="2"/>
  <c r="H8" i="2" s="1"/>
  <c r="I26" i="2"/>
  <c r="I6" i="2"/>
  <c r="I8" i="2" s="1"/>
  <c r="I20" i="2" s="1"/>
  <c r="I22" i="2" s="1"/>
  <c r="I23" i="2" s="1"/>
  <c r="J6" i="2"/>
  <c r="J8" i="2"/>
  <c r="J5" i="2"/>
  <c r="J18" i="2" s="1"/>
  <c r="J20" i="2" s="1"/>
  <c r="J22" i="2" s="1"/>
  <c r="J26" i="2"/>
  <c r="L22" i="2"/>
  <c r="L21" i="2"/>
  <c r="L20" i="2"/>
  <c r="L18" i="2"/>
  <c r="L14" i="2"/>
  <c r="L8" i="2"/>
  <c r="P26" i="2"/>
  <c r="P8" i="2"/>
  <c r="P14" i="2" s="1"/>
  <c r="P18" i="2" s="1"/>
  <c r="P20" i="2" s="1"/>
  <c r="P22" i="2" s="1"/>
  <c r="P23" i="2" s="1"/>
  <c r="P6" i="2"/>
  <c r="G25" i="2"/>
  <c r="G26" i="2" s="1"/>
  <c r="G21" i="2"/>
  <c r="G19" i="2"/>
  <c r="G17" i="2"/>
  <c r="G16" i="2"/>
  <c r="G15" i="2"/>
  <c r="G9" i="2"/>
  <c r="G7" i="2"/>
  <c r="G5" i="2"/>
  <c r="Q14" i="2"/>
  <c r="M14" i="2"/>
  <c r="N14" i="2"/>
  <c r="M26" i="2"/>
  <c r="E26" i="2"/>
  <c r="F26" i="2"/>
  <c r="L26" i="2"/>
  <c r="N26" i="2"/>
  <c r="Q26" i="2"/>
  <c r="R26" i="2"/>
  <c r="D26" i="2"/>
  <c r="E6" i="2"/>
  <c r="E8" i="2" s="1"/>
  <c r="F6" i="2"/>
  <c r="F8" i="2" s="1"/>
  <c r="L6" i="2"/>
  <c r="M6" i="2"/>
  <c r="M8" i="2" s="1"/>
  <c r="N6" i="2"/>
  <c r="N8" i="2" s="1"/>
  <c r="Q6" i="2"/>
  <c r="Q8" i="2" s="1"/>
  <c r="R6" i="2"/>
  <c r="R8" i="2" s="1"/>
  <c r="D6" i="2"/>
  <c r="D8" i="2" s="1"/>
  <c r="G59" i="14" l="1"/>
  <c r="G60" i="14" s="1"/>
  <c r="C59" i="14"/>
  <c r="C60" i="14" s="1"/>
  <c r="J59" i="14"/>
  <c r="J60" i="14" s="1"/>
  <c r="B59" i="14"/>
  <c r="B60" i="14" s="1"/>
  <c r="I59" i="14"/>
  <c r="I60" i="14" s="1"/>
  <c r="H59" i="14"/>
  <c r="H60" i="14" s="1"/>
  <c r="F59" i="14"/>
  <c r="F60" i="14" s="1"/>
  <c r="E59" i="14"/>
  <c r="E60" i="14" s="1"/>
  <c r="D59" i="14"/>
  <c r="D60" i="14" s="1"/>
  <c r="J94" i="14"/>
  <c r="I94" i="14"/>
  <c r="H94" i="14"/>
  <c r="G94" i="14"/>
  <c r="F94" i="14"/>
  <c r="E94" i="14"/>
  <c r="D94" i="14"/>
  <c r="N21" i="15"/>
  <c r="F37" i="15" s="1"/>
  <c r="F39" i="15" s="1"/>
  <c r="E43" i="15" s="1"/>
  <c r="D85" i="14"/>
  <c r="H85" i="14"/>
  <c r="I72" i="14"/>
  <c r="C72" i="14"/>
  <c r="C79" i="14"/>
  <c r="B79" i="14"/>
  <c r="H34" i="14"/>
  <c r="H46" i="14"/>
  <c r="E72" i="14"/>
  <c r="G34" i="14"/>
  <c r="J46" i="14"/>
  <c r="D46" i="14"/>
  <c r="G72" i="14"/>
  <c r="H72" i="14"/>
  <c r="J72" i="14"/>
  <c r="D72" i="14"/>
  <c r="F46" i="14"/>
  <c r="B72" i="14"/>
  <c r="E34" i="14"/>
  <c r="I34" i="14"/>
  <c r="I46" i="14"/>
  <c r="F72" i="14"/>
  <c r="G46" i="14"/>
  <c r="C46" i="14"/>
  <c r="J34" i="14"/>
  <c r="E46" i="14"/>
  <c r="F34" i="14"/>
  <c r="D34" i="14"/>
  <c r="C34" i="14"/>
  <c r="K31" i="14"/>
  <c r="K30" i="14" s="1"/>
  <c r="K27" i="14"/>
  <c r="L27" i="14" s="1"/>
  <c r="M27" i="14" s="1"/>
  <c r="N27" i="14" s="1"/>
  <c r="O27" i="14" s="1"/>
  <c r="P27" i="14" s="1"/>
  <c r="G28" i="14"/>
  <c r="C12" i="14"/>
  <c r="O12" i="14"/>
  <c r="D12" i="14"/>
  <c r="J12" i="14"/>
  <c r="P12" i="14"/>
  <c r="E28" i="14"/>
  <c r="F28" i="14"/>
  <c r="H28" i="14"/>
  <c r="D28" i="14"/>
  <c r="J28" i="14"/>
  <c r="E12" i="14"/>
  <c r="K12" i="14"/>
  <c r="L12" i="14"/>
  <c r="C28" i="14"/>
  <c r="I28" i="14"/>
  <c r="I8" i="14"/>
  <c r="G12" i="14"/>
  <c r="M12" i="14"/>
  <c r="B12" i="14"/>
  <c r="H12" i="14"/>
  <c r="N12" i="14"/>
  <c r="F12" i="14"/>
  <c r="I11" i="14"/>
  <c r="I12" i="14" s="1"/>
  <c r="I5" i="14"/>
  <c r="G24" i="14"/>
  <c r="C24" i="14"/>
  <c r="K18" i="14"/>
  <c r="K19" i="14" s="1"/>
  <c r="L18" i="14" s="1"/>
  <c r="J24" i="14"/>
  <c r="D24" i="14"/>
  <c r="H24" i="14"/>
  <c r="I24" i="14"/>
  <c r="E24" i="14"/>
  <c r="F24" i="14"/>
  <c r="G16" i="12"/>
  <c r="G20" i="12" s="1"/>
  <c r="G22" i="12" s="1"/>
  <c r="G24" i="12" s="1"/>
  <c r="S23" i="2"/>
  <c r="O22" i="12"/>
  <c r="O24" i="12" s="1"/>
  <c r="E22" i="12"/>
  <c r="E24" i="12" s="1"/>
  <c r="V22" i="12"/>
  <c r="V24" i="12" s="1"/>
  <c r="M22" i="12"/>
  <c r="M24" i="12" s="1"/>
  <c r="U22" i="12"/>
  <c r="U24" i="12" s="1"/>
  <c r="I22" i="12"/>
  <c r="I24" i="12" s="1"/>
  <c r="L22" i="12"/>
  <c r="L24" i="12" s="1"/>
  <c r="K22" i="12"/>
  <c r="K24" i="12" s="1"/>
  <c r="F20" i="12"/>
  <c r="F22" i="12" s="1"/>
  <c r="J22" i="12"/>
  <c r="J24" i="12" s="1"/>
  <c r="R22" i="12"/>
  <c r="R24" i="12" s="1"/>
  <c r="Q22" i="12"/>
  <c r="Q24" i="12" s="1"/>
  <c r="H22" i="12"/>
  <c r="H24" i="12" s="1"/>
  <c r="P22" i="12"/>
  <c r="P24" i="12" s="1"/>
  <c r="W22" i="12"/>
  <c r="W24" i="12" s="1"/>
  <c r="X22" i="12"/>
  <c r="X24" i="12" s="1"/>
  <c r="N22" i="12"/>
  <c r="N24" i="12" s="1"/>
  <c r="T22" i="12"/>
  <c r="T24" i="12" s="1"/>
  <c r="S22" i="12"/>
  <c r="S24" i="12" s="1"/>
  <c r="D22" i="12"/>
  <c r="D24" i="12" s="1"/>
  <c r="K33" i="3"/>
  <c r="M33" i="3"/>
  <c r="H42" i="3"/>
  <c r="O40" i="3"/>
  <c r="P40" i="3" s="1"/>
  <c r="Q40" i="3" s="1"/>
  <c r="R40" i="3" s="1"/>
  <c r="N39" i="3"/>
  <c r="L33" i="3"/>
  <c r="L42" i="3"/>
  <c r="K42" i="3"/>
  <c r="G68" i="7"/>
  <c r="M31" i="7"/>
  <c r="M83" i="7" s="1"/>
  <c r="M60" i="7"/>
  <c r="M87" i="7" s="1"/>
  <c r="E100" i="7"/>
  <c r="I68" i="7"/>
  <c r="M70" i="7"/>
  <c r="M75" i="7" s="1"/>
  <c r="H100" i="7"/>
  <c r="E96" i="7"/>
  <c r="F68" i="7"/>
  <c r="L68" i="7"/>
  <c r="I81" i="7"/>
  <c r="J68" i="7"/>
  <c r="H68" i="7"/>
  <c r="F88" i="7"/>
  <c r="F81" i="7"/>
  <c r="G100" i="7"/>
  <c r="I75" i="7"/>
  <c r="F100" i="7"/>
  <c r="F96" i="7"/>
  <c r="F92" i="7"/>
  <c r="F93" i="7" s="1"/>
  <c r="J75" i="7"/>
  <c r="L92" i="7"/>
  <c r="L96" i="7"/>
  <c r="G96" i="7"/>
  <c r="H92" i="7"/>
  <c r="I96" i="7"/>
  <c r="J96" i="7"/>
  <c r="G92" i="7"/>
  <c r="J88" i="7"/>
  <c r="H75" i="7"/>
  <c r="I76" i="7" s="1"/>
  <c r="G75" i="7"/>
  <c r="H88" i="7"/>
  <c r="G88" i="7"/>
  <c r="E104" i="7"/>
  <c r="H104" i="7"/>
  <c r="H96" i="7"/>
  <c r="J100" i="7"/>
  <c r="G104" i="7"/>
  <c r="J92" i="7"/>
  <c r="E75" i="7"/>
  <c r="K92" i="7"/>
  <c r="L75" i="7"/>
  <c r="E88" i="7"/>
  <c r="K75" i="7"/>
  <c r="I92" i="7"/>
  <c r="L88" i="7"/>
  <c r="K88" i="7"/>
  <c r="K96" i="7"/>
  <c r="I88" i="7"/>
  <c r="F75" i="7"/>
  <c r="L100" i="7"/>
  <c r="I104" i="7"/>
  <c r="L81" i="7"/>
  <c r="K100" i="7"/>
  <c r="K43" i="7"/>
  <c r="I38" i="7"/>
  <c r="F43" i="7"/>
  <c r="M38" i="7"/>
  <c r="I43" i="7"/>
  <c r="J43" i="7"/>
  <c r="F38" i="7"/>
  <c r="H43" i="7"/>
  <c r="G43" i="7"/>
  <c r="I99" i="7"/>
  <c r="I100" i="7" s="1"/>
  <c r="L43" i="7"/>
  <c r="K103" i="7"/>
  <c r="K104" i="7" s="1"/>
  <c r="L103" i="7"/>
  <c r="L104" i="7" s="1"/>
  <c r="L38" i="7"/>
  <c r="K38" i="7"/>
  <c r="J38" i="7"/>
  <c r="F103" i="7"/>
  <c r="F104" i="7" s="1"/>
  <c r="J103" i="7"/>
  <c r="J104" i="7" s="1"/>
  <c r="H38" i="7"/>
  <c r="M43" i="7"/>
  <c r="G38" i="7"/>
  <c r="E31" i="7"/>
  <c r="K31" i="7"/>
  <c r="K83" i="7" s="1"/>
  <c r="K84" i="7" s="1"/>
  <c r="G31" i="7"/>
  <c r="J31" i="7"/>
  <c r="I31" i="7"/>
  <c r="H31" i="7"/>
  <c r="L31" i="7"/>
  <c r="F31" i="7"/>
  <c r="H61" i="7"/>
  <c r="J61" i="7"/>
  <c r="K61" i="7"/>
  <c r="G61" i="7"/>
  <c r="L61" i="7"/>
  <c r="I61" i="7"/>
  <c r="F61" i="7"/>
  <c r="I32" i="7"/>
  <c r="L19" i="7"/>
  <c r="M19" i="7"/>
  <c r="F19" i="7"/>
  <c r="G19" i="7"/>
  <c r="K19" i="7"/>
  <c r="J19" i="7"/>
  <c r="I19" i="7"/>
  <c r="H19" i="7"/>
  <c r="F42" i="3"/>
  <c r="G42" i="3"/>
  <c r="I42" i="3"/>
  <c r="J42" i="3"/>
  <c r="M42" i="3"/>
  <c r="N30" i="3"/>
  <c r="H33" i="3"/>
  <c r="J16" i="3"/>
  <c r="K16" i="3"/>
  <c r="H20" i="3"/>
  <c r="H22" i="3"/>
  <c r="H16" i="3"/>
  <c r="G22" i="3"/>
  <c r="G16" i="3"/>
  <c r="F16" i="3"/>
  <c r="F22" i="3"/>
  <c r="L22" i="3"/>
  <c r="L16" i="3"/>
  <c r="M22" i="3"/>
  <c r="I16" i="3"/>
  <c r="M20" i="3"/>
  <c r="M16" i="3"/>
  <c r="G14" i="3"/>
  <c r="M14" i="3"/>
  <c r="J14" i="3"/>
  <c r="I14" i="3"/>
  <c r="H14" i="3"/>
  <c r="L14" i="3"/>
  <c r="G20" i="3"/>
  <c r="F20" i="3"/>
  <c r="E20" i="3"/>
  <c r="E21" i="3"/>
  <c r="I20" i="3"/>
  <c r="I21" i="3"/>
  <c r="L21" i="3"/>
  <c r="L20" i="3"/>
  <c r="F14" i="3"/>
  <c r="K14" i="3"/>
  <c r="H21" i="3"/>
  <c r="O14" i="2"/>
  <c r="O20" i="2" s="1"/>
  <c r="H18" i="2"/>
  <c r="H20" i="2" s="1"/>
  <c r="H22" i="2" s="1"/>
  <c r="H23" i="2" s="1"/>
  <c r="G6" i="2"/>
  <c r="G8" i="2" s="1"/>
  <c r="J23" i="2"/>
  <c r="N18" i="2"/>
  <c r="N20" i="2" s="1"/>
  <c r="N22" i="2" s="1"/>
  <c r="N23" i="2" s="1"/>
  <c r="F18" i="2"/>
  <c r="F20" i="2" s="1"/>
  <c r="F22" i="2" s="1"/>
  <c r="F23" i="2" s="1"/>
  <c r="L23" i="2"/>
  <c r="E18" i="2"/>
  <c r="E20" i="2" s="1"/>
  <c r="E22" i="2" s="1"/>
  <c r="E23" i="2" s="1"/>
  <c r="D18" i="2"/>
  <c r="D20" i="2" s="1"/>
  <c r="D22" i="2" s="1"/>
  <c r="D23" i="2" s="1"/>
  <c r="R18" i="2"/>
  <c r="R20" i="2" s="1"/>
  <c r="R22" i="2" s="1"/>
  <c r="R23" i="2" s="1"/>
  <c r="Q18" i="2"/>
  <c r="Q20" i="2" s="1"/>
  <c r="Q22" i="2" s="1"/>
  <c r="Q23" i="2" s="1"/>
  <c r="M18" i="2"/>
  <c r="M20" i="2" s="1"/>
  <c r="M22" i="2" s="1"/>
  <c r="M23" i="2" s="1"/>
  <c r="K34" i="14" l="1"/>
  <c r="L31" i="14"/>
  <c r="M31" i="14" s="1"/>
  <c r="N31" i="14" s="1"/>
  <c r="O31" i="14" s="1"/>
  <c r="P31" i="14" s="1"/>
  <c r="K24" i="14"/>
  <c r="L24" i="14" s="1"/>
  <c r="M24" i="14" s="1"/>
  <c r="N24" i="14" s="1"/>
  <c r="O24" i="14" s="1"/>
  <c r="P24" i="14" s="1"/>
  <c r="L19" i="14"/>
  <c r="M18" i="14" s="1"/>
  <c r="E42" i="15"/>
  <c r="E46" i="15" s="1"/>
  <c r="M42" i="12"/>
  <c r="M40" i="12"/>
  <c r="N42" i="12"/>
  <c r="N40" i="12"/>
  <c r="K27" i="12"/>
  <c r="K57" i="12" s="1"/>
  <c r="K88" i="12" s="1"/>
  <c r="E27" i="12"/>
  <c r="E57" i="12" s="1"/>
  <c r="H27" i="12"/>
  <c r="H57" i="12" s="1"/>
  <c r="H88" i="12" s="1"/>
  <c r="N27" i="12"/>
  <c r="N57" i="12" s="1"/>
  <c r="N88" i="12" s="1"/>
  <c r="I27" i="12"/>
  <c r="I57" i="12" s="1"/>
  <c r="I88" i="12" s="1"/>
  <c r="M27" i="12"/>
  <c r="M57" i="12" s="1"/>
  <c r="M88" i="12" s="1"/>
  <c r="U27" i="12"/>
  <c r="J27" i="12"/>
  <c r="J57" i="12" s="1"/>
  <c r="J88" i="12" s="1"/>
  <c r="V27" i="12"/>
  <c r="L27" i="12"/>
  <c r="L57" i="12" s="1"/>
  <c r="L88" i="12" s="1"/>
  <c r="F24" i="12"/>
  <c r="F57" i="12"/>
  <c r="O27" i="12"/>
  <c r="S27" i="12"/>
  <c r="T27" i="12"/>
  <c r="X27" i="12"/>
  <c r="W27" i="12"/>
  <c r="P27" i="12"/>
  <c r="G27" i="12"/>
  <c r="G57" i="12" s="1"/>
  <c r="G88" i="12" s="1"/>
  <c r="Q27" i="12"/>
  <c r="R27" i="12"/>
  <c r="D27" i="12"/>
  <c r="D57" i="12" s="1"/>
  <c r="D88" i="12" s="1"/>
  <c r="O39" i="3"/>
  <c r="N35" i="3"/>
  <c r="E50" i="3" s="1"/>
  <c r="M107" i="7"/>
  <c r="M108" i="7" s="1"/>
  <c r="I101" i="7"/>
  <c r="J76" i="7"/>
  <c r="F97" i="7"/>
  <c r="J81" i="7"/>
  <c r="H101" i="7"/>
  <c r="G97" i="7"/>
  <c r="K76" i="7"/>
  <c r="G81" i="7"/>
  <c r="F89" i="7"/>
  <c r="G89" i="7"/>
  <c r="G93" i="7"/>
  <c r="G101" i="7"/>
  <c r="F101" i="7"/>
  <c r="H76" i="7"/>
  <c r="J97" i="7"/>
  <c r="I97" i="7"/>
  <c r="K89" i="7"/>
  <c r="I93" i="7"/>
  <c r="H105" i="7"/>
  <c r="F105" i="7"/>
  <c r="H89" i="7"/>
  <c r="H81" i="7"/>
  <c r="K70" i="7"/>
  <c r="L105" i="7"/>
  <c r="K101" i="7"/>
  <c r="H97" i="7"/>
  <c r="I105" i="7"/>
  <c r="K105" i="7"/>
  <c r="K93" i="7"/>
  <c r="K97" i="7"/>
  <c r="L97" i="7"/>
  <c r="L93" i="7"/>
  <c r="L101" i="7"/>
  <c r="G76" i="7"/>
  <c r="K81" i="7"/>
  <c r="H93" i="7"/>
  <c r="F76" i="7"/>
  <c r="I89" i="7"/>
  <c r="J105" i="7"/>
  <c r="J93" i="7"/>
  <c r="L89" i="7"/>
  <c r="L76" i="7"/>
  <c r="J89" i="7"/>
  <c r="M81" i="7"/>
  <c r="M96" i="7"/>
  <c r="M100" i="7"/>
  <c r="G105" i="7"/>
  <c r="J101" i="7"/>
  <c r="M92" i="7"/>
  <c r="M104" i="7"/>
  <c r="M84" i="7"/>
  <c r="M88" i="7"/>
  <c r="L70" i="7"/>
  <c r="L83" i="7"/>
  <c r="L84" i="7" s="1"/>
  <c r="L85" i="7" s="1"/>
  <c r="E70" i="7"/>
  <c r="E83" i="7"/>
  <c r="E84" i="7" s="1"/>
  <c r="H70" i="7"/>
  <c r="H83" i="7"/>
  <c r="H84" i="7" s="1"/>
  <c r="F70" i="7"/>
  <c r="F71" i="7" s="1"/>
  <c r="F83" i="7"/>
  <c r="F84" i="7" s="1"/>
  <c r="I70" i="7"/>
  <c r="I71" i="7" s="1"/>
  <c r="I83" i="7"/>
  <c r="I84" i="7" s="1"/>
  <c r="J70" i="7"/>
  <c r="J71" i="7" s="1"/>
  <c r="J83" i="7"/>
  <c r="J84" i="7" s="1"/>
  <c r="K85" i="7" s="1"/>
  <c r="G70" i="7"/>
  <c r="G83" i="7"/>
  <c r="G84" i="7" s="1"/>
  <c r="N26" i="3"/>
  <c r="O30" i="3"/>
  <c r="D17" i="3"/>
  <c r="F21" i="3"/>
  <c r="G21" i="3"/>
  <c r="K21" i="3"/>
  <c r="K20" i="3"/>
  <c r="J20" i="3"/>
  <c r="J21" i="3"/>
  <c r="G14" i="2"/>
  <c r="G18" i="2" s="1"/>
  <c r="G20" i="2" s="1"/>
  <c r="G22" i="2" s="1"/>
  <c r="G23" i="2" s="1"/>
  <c r="L34" i="14" l="1"/>
  <c r="K33" i="14"/>
  <c r="L30" i="14"/>
  <c r="M30" i="14" s="1"/>
  <c r="K23" i="14"/>
  <c r="J131" i="12"/>
  <c r="J120" i="12"/>
  <c r="H131" i="12"/>
  <c r="H120" i="12"/>
  <c r="K131" i="12"/>
  <c r="K120" i="12"/>
  <c r="L131" i="12"/>
  <c r="L120" i="12"/>
  <c r="I131" i="12"/>
  <c r="I120" i="12"/>
  <c r="M131" i="12"/>
  <c r="M120" i="12"/>
  <c r="N120" i="12"/>
  <c r="G131" i="12"/>
  <c r="G120" i="12"/>
  <c r="F88" i="12"/>
  <c r="E131" i="12"/>
  <c r="E120" i="12"/>
  <c r="D131" i="12"/>
  <c r="D134" i="12" s="1"/>
  <c r="D120" i="12"/>
  <c r="D122" i="12" s="1"/>
  <c r="E121" i="12" s="1"/>
  <c r="K35" i="12"/>
  <c r="K37" i="12" s="1"/>
  <c r="E35" i="12"/>
  <c r="E37" i="12" s="1"/>
  <c r="X35" i="12"/>
  <c r="X37" i="12" s="1"/>
  <c r="T35" i="12"/>
  <c r="T37" i="12" s="1"/>
  <c r="S35" i="12"/>
  <c r="S37" i="12" s="1"/>
  <c r="O35" i="12"/>
  <c r="O37" i="12" s="1"/>
  <c r="L35" i="12"/>
  <c r="L37" i="12" s="1"/>
  <c r="R35" i="12"/>
  <c r="R37" i="12" s="1"/>
  <c r="V35" i="12"/>
  <c r="V37" i="12" s="1"/>
  <c r="Q35" i="12"/>
  <c r="Q37" i="12" s="1"/>
  <c r="D35" i="12"/>
  <c r="D37" i="12" s="1"/>
  <c r="U35" i="12"/>
  <c r="U37" i="12" s="1"/>
  <c r="P35" i="12"/>
  <c r="P37" i="12" s="1"/>
  <c r="M35" i="12"/>
  <c r="M37" i="12" s="1"/>
  <c r="W35" i="12"/>
  <c r="W37" i="12" s="1"/>
  <c r="N35" i="12"/>
  <c r="N37" i="12" s="1"/>
  <c r="I35" i="12"/>
  <c r="I37" i="12" s="1"/>
  <c r="J35" i="12"/>
  <c r="J37" i="12" s="1"/>
  <c r="H35" i="12"/>
  <c r="H37" i="12" s="1"/>
  <c r="G35" i="12"/>
  <c r="G37" i="12" s="1"/>
  <c r="F35" i="12"/>
  <c r="F37" i="12" s="1"/>
  <c r="N46" i="3"/>
  <c r="N44" i="3"/>
  <c r="E54" i="3" s="1"/>
  <c r="E55" i="3" s="1"/>
  <c r="N36" i="3"/>
  <c r="P39" i="3"/>
  <c r="O35" i="3"/>
  <c r="H107" i="7"/>
  <c r="H108" i="7" s="1"/>
  <c r="H71" i="7"/>
  <c r="E107" i="7"/>
  <c r="E108" i="7" s="1"/>
  <c r="E71" i="7"/>
  <c r="F72" i="7" s="1"/>
  <c r="G107" i="7"/>
  <c r="G108" i="7" s="1"/>
  <c r="G71" i="7"/>
  <c r="G72" i="7" s="1"/>
  <c r="M71" i="7"/>
  <c r="L71" i="7"/>
  <c r="K107" i="7"/>
  <c r="K108" i="7" s="1"/>
  <c r="K71" i="7"/>
  <c r="K72" i="7" s="1"/>
  <c r="J72" i="7"/>
  <c r="I85" i="7"/>
  <c r="F85" i="7"/>
  <c r="H85" i="7"/>
  <c r="G85" i="7"/>
  <c r="J85" i="7"/>
  <c r="L107" i="7"/>
  <c r="L108" i="7" s="1"/>
  <c r="J107" i="7"/>
  <c r="J108" i="7" s="1"/>
  <c r="I107" i="7"/>
  <c r="I108" i="7" s="1"/>
  <c r="F107" i="7"/>
  <c r="F108" i="7" s="1"/>
  <c r="P30" i="3"/>
  <c r="O26" i="3"/>
  <c r="L33" i="14" l="1"/>
  <c r="K42" i="14"/>
  <c r="M34" i="14"/>
  <c r="N34" i="14" s="1"/>
  <c r="O34" i="14" s="1"/>
  <c r="P34" i="14" s="1"/>
  <c r="N30" i="14"/>
  <c r="L23" i="14"/>
  <c r="K22" i="14"/>
  <c r="K21" i="14" s="1"/>
  <c r="M19" i="14"/>
  <c r="N18" i="14" s="1"/>
  <c r="E134" i="12"/>
  <c r="E132" i="12"/>
  <c r="L134" i="12"/>
  <c r="L132" i="12"/>
  <c r="J134" i="12"/>
  <c r="J132" i="12"/>
  <c r="M134" i="12"/>
  <c r="M132" i="12"/>
  <c r="K134" i="12"/>
  <c r="K132" i="12"/>
  <c r="G134" i="12"/>
  <c r="I134" i="12"/>
  <c r="I132" i="12"/>
  <c r="H134" i="12"/>
  <c r="H132" i="12"/>
  <c r="N134" i="12"/>
  <c r="N132" i="12"/>
  <c r="E122" i="12"/>
  <c r="F121" i="12" s="1"/>
  <c r="F131" i="12"/>
  <c r="F120" i="12"/>
  <c r="O36" i="3"/>
  <c r="O44" i="3"/>
  <c r="Q39" i="3"/>
  <c r="P35" i="3"/>
  <c r="F50" i="3"/>
  <c r="F51" i="3" s="1"/>
  <c r="O27" i="3"/>
  <c r="O46" i="3"/>
  <c r="H72" i="7"/>
  <c r="H109" i="7"/>
  <c r="F109" i="7"/>
  <c r="I72" i="7"/>
  <c r="L72" i="7"/>
  <c r="L109" i="7"/>
  <c r="M109" i="7"/>
  <c r="I109" i="7"/>
  <c r="J109" i="7"/>
  <c r="K109" i="7"/>
  <c r="G109" i="7"/>
  <c r="Q30" i="3"/>
  <c r="P26" i="3"/>
  <c r="M33" i="14" l="1"/>
  <c r="M42" i="14" s="1"/>
  <c r="L42" i="14"/>
  <c r="L43" i="14" s="1"/>
  <c r="K43" i="14"/>
  <c r="K53" i="14"/>
  <c r="O30" i="14"/>
  <c r="K25" i="14"/>
  <c r="K38" i="14"/>
  <c r="K56" i="14" s="1"/>
  <c r="M23" i="14"/>
  <c r="L22" i="14"/>
  <c r="L21" i="14" s="1"/>
  <c r="N19" i="14"/>
  <c r="O18" i="14" s="1"/>
  <c r="F134" i="12"/>
  <c r="F132" i="12"/>
  <c r="G132" i="12"/>
  <c r="F122" i="12"/>
  <c r="G121" i="12" s="1"/>
  <c r="G122" i="12" s="1"/>
  <c r="H121" i="12" s="1"/>
  <c r="H122" i="12" s="1"/>
  <c r="I121" i="12" s="1"/>
  <c r="I122" i="12" s="1"/>
  <c r="J121" i="12" s="1"/>
  <c r="J122" i="12" s="1"/>
  <c r="K121" i="12" s="1"/>
  <c r="K122" i="12" s="1"/>
  <c r="L121" i="12" s="1"/>
  <c r="L122" i="12" s="1"/>
  <c r="M121" i="12" s="1"/>
  <c r="M122" i="12" s="1"/>
  <c r="P27" i="3"/>
  <c r="G50" i="3"/>
  <c r="G51" i="3" s="1"/>
  <c r="P46" i="3"/>
  <c r="P44" i="3"/>
  <c r="G54" i="3" s="1"/>
  <c r="G55" i="3" s="1"/>
  <c r="P36" i="3"/>
  <c r="R39" i="3"/>
  <c r="R35" i="3" s="1"/>
  <c r="Q35" i="3"/>
  <c r="F54" i="3"/>
  <c r="F55" i="3" s="1"/>
  <c r="R30" i="3"/>
  <c r="R26" i="3" s="1"/>
  <c r="Q26" i="3"/>
  <c r="N33" i="14" l="1"/>
  <c r="O33" i="14" s="1"/>
  <c r="P33" i="14" s="1"/>
  <c r="L53" i="14"/>
  <c r="M43" i="14"/>
  <c r="K71" i="14"/>
  <c r="M53" i="14"/>
  <c r="K39" i="14"/>
  <c r="K45" i="14"/>
  <c r="P30" i="14"/>
  <c r="L25" i="14"/>
  <c r="L38" i="14"/>
  <c r="L56" i="14" s="1"/>
  <c r="N23" i="14"/>
  <c r="M22" i="14"/>
  <c r="M21" i="14" s="1"/>
  <c r="O19" i="14"/>
  <c r="N121" i="12"/>
  <c r="N122" i="12" s="1"/>
  <c r="R27" i="3"/>
  <c r="I50" i="3"/>
  <c r="R46" i="3"/>
  <c r="Q27" i="3"/>
  <c r="H50" i="3"/>
  <c r="H51" i="3" s="1"/>
  <c r="Q46" i="3"/>
  <c r="Q44" i="3"/>
  <c r="H54" i="3" s="1"/>
  <c r="H55" i="3" s="1"/>
  <c r="Q36" i="3"/>
  <c r="R44" i="3"/>
  <c r="I54" i="3" s="1"/>
  <c r="I55" i="3" s="1"/>
  <c r="R36" i="3"/>
  <c r="K93" i="14" l="1"/>
  <c r="K96" i="14"/>
  <c r="L91" i="14"/>
  <c r="L99" i="14" s="1"/>
  <c r="K59" i="14"/>
  <c r="K62" i="14" s="1"/>
  <c r="O42" i="14"/>
  <c r="N42" i="14"/>
  <c r="N43" i="14" s="1"/>
  <c r="P42" i="14"/>
  <c r="P53" i="14" s="1"/>
  <c r="L71" i="14"/>
  <c r="K72" i="14"/>
  <c r="K78" i="14"/>
  <c r="K85" i="14" s="1"/>
  <c r="K46" i="14"/>
  <c r="L39" i="14"/>
  <c r="L45" i="14"/>
  <c r="L96" i="14" s="1"/>
  <c r="M25" i="14"/>
  <c r="M38" i="14"/>
  <c r="M56" i="14" s="1"/>
  <c r="M71" i="14" s="1"/>
  <c r="O23" i="14"/>
  <c r="N22" i="14"/>
  <c r="N21" i="14" s="1"/>
  <c r="P18" i="14"/>
  <c r="I51" i="3"/>
  <c r="K88" i="14" l="1"/>
  <c r="K102" i="14" s="1"/>
  <c r="K86" i="14"/>
  <c r="K65" i="14"/>
  <c r="K68" i="14"/>
  <c r="K49" i="14" s="1"/>
  <c r="K74" i="14"/>
  <c r="K75" i="14" s="1"/>
  <c r="K60" i="14"/>
  <c r="L93" i="14"/>
  <c r="M91" i="14" s="1"/>
  <c r="M99" i="14" s="1"/>
  <c r="L59" i="14"/>
  <c r="L62" i="14" s="1"/>
  <c r="O43" i="14"/>
  <c r="N53" i="14"/>
  <c r="O53" i="14"/>
  <c r="P43" i="14"/>
  <c r="L72" i="14"/>
  <c r="K103" i="14"/>
  <c r="L46" i="14"/>
  <c r="L78" i="14"/>
  <c r="L85" i="14" s="1"/>
  <c r="M39" i="14"/>
  <c r="M45" i="14"/>
  <c r="M96" i="14" s="1"/>
  <c r="N25" i="14"/>
  <c r="N38" i="14"/>
  <c r="N56" i="14" s="1"/>
  <c r="P23" i="14"/>
  <c r="P22" i="14" s="1"/>
  <c r="P21" i="14" s="1"/>
  <c r="P38" i="14" s="1"/>
  <c r="O22" i="14"/>
  <c r="O21" i="14" s="1"/>
  <c r="P19" i="14"/>
  <c r="L88" i="14" l="1"/>
  <c r="L102" i="14" s="1"/>
  <c r="L86" i="14"/>
  <c r="K105" i="14"/>
  <c r="L65" i="14"/>
  <c r="L68" i="14"/>
  <c r="L49" i="14" s="1"/>
  <c r="L74" i="14"/>
  <c r="L75" i="14" s="1"/>
  <c r="L105" i="14"/>
  <c r="L60" i="14"/>
  <c r="M93" i="14"/>
  <c r="M59" i="14"/>
  <c r="M62" i="14" s="1"/>
  <c r="N71" i="14"/>
  <c r="L103" i="14"/>
  <c r="L109" i="14"/>
  <c r="M72" i="14"/>
  <c r="P45" i="14"/>
  <c r="P96" i="14" s="1"/>
  <c r="P56" i="14"/>
  <c r="P71" i="14" s="1"/>
  <c r="M46" i="14"/>
  <c r="M78" i="14"/>
  <c r="M85" i="14" s="1"/>
  <c r="N39" i="14"/>
  <c r="N45" i="14"/>
  <c r="N96" i="14" s="1"/>
  <c r="O25" i="14"/>
  <c r="O38" i="14"/>
  <c r="O56" i="14" s="1"/>
  <c r="O71" i="14" s="1"/>
  <c r="P25" i="14"/>
  <c r="M88" i="14" l="1"/>
  <c r="M102" i="14" s="1"/>
  <c r="M86" i="14"/>
  <c r="N91" i="14"/>
  <c r="N99" i="14" s="1"/>
  <c r="M103" i="14"/>
  <c r="K106" i="14"/>
  <c r="L106" i="14"/>
  <c r="L113" i="14"/>
  <c r="M65" i="14"/>
  <c r="M74" i="14" s="1"/>
  <c r="M75" i="14" s="1"/>
  <c r="M68" i="14"/>
  <c r="M49" i="14" s="1"/>
  <c r="M60" i="14"/>
  <c r="N93" i="14"/>
  <c r="O91" i="14" s="1"/>
  <c r="O99" i="14" s="1"/>
  <c r="N59" i="14"/>
  <c r="N62" i="14" s="1"/>
  <c r="P93" i="14"/>
  <c r="P59" i="14"/>
  <c r="P62" i="14" s="1"/>
  <c r="P41" i="14"/>
  <c r="N72" i="14"/>
  <c r="P72" i="14"/>
  <c r="N46" i="14"/>
  <c r="N78" i="14"/>
  <c r="N85" i="14" s="1"/>
  <c r="P78" i="14"/>
  <c r="P85" i="14" s="1"/>
  <c r="O39" i="14"/>
  <c r="O45" i="14"/>
  <c r="O96" i="14" s="1"/>
  <c r="P39" i="14"/>
  <c r="P88" i="14" l="1"/>
  <c r="P86" i="14"/>
  <c r="N88" i="14"/>
  <c r="N102" i="14" s="1"/>
  <c r="N109" i="14" s="1"/>
  <c r="N86" i="14"/>
  <c r="M109" i="14"/>
  <c r="M105" i="14"/>
  <c r="P65" i="14"/>
  <c r="P74" i="14" s="1"/>
  <c r="P75" i="14" s="1"/>
  <c r="P68" i="14"/>
  <c r="P49" i="14" s="1"/>
  <c r="N65" i="14"/>
  <c r="N74" i="14" s="1"/>
  <c r="N75" i="14" s="1"/>
  <c r="N68" i="14"/>
  <c r="N49" i="14" s="1"/>
  <c r="P60" i="14"/>
  <c r="N60" i="14"/>
  <c r="O93" i="14"/>
  <c r="P91" i="14" s="1"/>
  <c r="P99" i="14" s="1"/>
  <c r="O59" i="14"/>
  <c r="O62" i="14" s="1"/>
  <c r="O78" i="14"/>
  <c r="O85" i="14" s="1"/>
  <c r="O72" i="14"/>
  <c r="O46" i="14"/>
  <c r="P46" i="14"/>
  <c r="O88" i="14" l="1"/>
  <c r="O102" i="14" s="1"/>
  <c r="O86" i="14"/>
  <c r="N103" i="14"/>
  <c r="N105" i="14"/>
  <c r="P102" i="14"/>
  <c r="Q102" i="14" s="1"/>
  <c r="Q109" i="14" s="1"/>
  <c r="I112" i="14" s="1"/>
  <c r="N113" i="14"/>
  <c r="N106" i="14"/>
  <c r="M106" i="14"/>
  <c r="M113" i="14"/>
  <c r="O65" i="14"/>
  <c r="O74" i="14" s="1"/>
  <c r="O75" i="14" s="1"/>
  <c r="O68" i="14"/>
  <c r="O49" i="14" s="1"/>
  <c r="O60" i="14"/>
  <c r="O103" i="14"/>
  <c r="O109" i="14"/>
  <c r="P103" i="14" l="1"/>
  <c r="O105" i="14"/>
  <c r="P109" i="14"/>
  <c r="I140" i="14" s="1"/>
  <c r="Q140" i="14"/>
  <c r="Q144" i="14" s="1"/>
  <c r="I141" i="14" s="1"/>
  <c r="P105" i="14"/>
  <c r="O106" i="14"/>
  <c r="O113" i="14"/>
  <c r="I111" i="14"/>
  <c r="I113" i="14" s="1"/>
  <c r="I115" i="14" s="1"/>
  <c r="P106" i="14" l="1"/>
  <c r="Q105" i="14"/>
  <c r="Q113" i="14" s="1"/>
  <c r="I123" i="14" s="1"/>
  <c r="I142" i="14"/>
  <c r="I144" i="14" s="1"/>
  <c r="N124" i="14" s="1"/>
  <c r="P113" i="14"/>
  <c r="I122" i="14" s="1"/>
  <c r="Q129" i="14"/>
  <c r="Q133" i="14" s="1"/>
  <c r="I132" i="14" s="1"/>
  <c r="I131" i="14"/>
  <c r="N121" i="14"/>
  <c r="I124" i="14" l="1"/>
  <c r="I126" i="14" s="1"/>
  <c r="N122" i="14" s="1"/>
  <c r="I133" i="14"/>
  <c r="I135" i="14" s="1"/>
  <c r="N123" i="14" l="1"/>
  <c r="N125" i="14" s="1"/>
</calcChain>
</file>

<file path=xl/sharedStrings.xml><?xml version="1.0" encoding="utf-8"?>
<sst xmlns="http://schemas.openxmlformats.org/spreadsheetml/2006/main" count="518" uniqueCount="388">
  <si>
    <t>ticker</t>
  </si>
  <si>
    <t>STZ</t>
  </si>
  <si>
    <t>Notes</t>
  </si>
  <si>
    <t xml:space="preserve">price </t>
  </si>
  <si>
    <t xml:space="preserve">cash </t>
  </si>
  <si>
    <t>debt</t>
  </si>
  <si>
    <t>share count</t>
  </si>
  <si>
    <t>market cap</t>
  </si>
  <si>
    <t>Q1 22</t>
  </si>
  <si>
    <t>Q2 22</t>
  </si>
  <si>
    <t>Q3 22</t>
  </si>
  <si>
    <t>Q4 22</t>
  </si>
  <si>
    <t>Q1 23</t>
  </si>
  <si>
    <t>Q2 23</t>
  </si>
  <si>
    <t>Q3 23</t>
  </si>
  <si>
    <t>Q4 23</t>
  </si>
  <si>
    <t>Q1 24</t>
  </si>
  <si>
    <t>Q2 24</t>
  </si>
  <si>
    <t>Q3 24</t>
  </si>
  <si>
    <t>Q4 24</t>
  </si>
  <si>
    <t>Q1 25</t>
  </si>
  <si>
    <t>Q2 25</t>
  </si>
  <si>
    <t>Q3 25</t>
  </si>
  <si>
    <t>Q4 25</t>
  </si>
  <si>
    <t>Sales</t>
  </si>
  <si>
    <t>excise tax</t>
  </si>
  <si>
    <t>Net sales</t>
  </si>
  <si>
    <t>COGS</t>
  </si>
  <si>
    <t>Gross profit</t>
  </si>
  <si>
    <t xml:space="preserve">SG &amp;A </t>
  </si>
  <si>
    <t>Impariment of brewery onstruction in progress</t>
  </si>
  <si>
    <t>Goodwill impairment</t>
  </si>
  <si>
    <t>-</t>
  </si>
  <si>
    <t>Gain/(loss) on sale of business</t>
  </si>
  <si>
    <t>Operating Income</t>
  </si>
  <si>
    <t>income from unconsolidated investments</t>
  </si>
  <si>
    <t>Interest expense</t>
  </si>
  <si>
    <t>Loss on extinguishment of debt</t>
  </si>
  <si>
    <t>EBT</t>
  </si>
  <si>
    <t>Income tax provision</t>
  </si>
  <si>
    <t>Net Income</t>
  </si>
  <si>
    <t xml:space="preserve">net income attributable to non controlling interests </t>
  </si>
  <si>
    <t>net income to CBI (shareholders)</t>
  </si>
  <si>
    <t>other income (loss) hedging etc.</t>
  </si>
  <si>
    <t>Comprehensive income</t>
  </si>
  <si>
    <t xml:space="preserve">comprehensive income attributable to non-controlling interests </t>
  </si>
  <si>
    <t xml:space="preserve">Comprehensive income attributable to CBI </t>
  </si>
  <si>
    <t>r</t>
  </si>
  <si>
    <t>Assets held for sale impairment</t>
  </si>
  <si>
    <t>Beer</t>
  </si>
  <si>
    <t>Wine</t>
  </si>
  <si>
    <t>Wine &amp; Spirits:</t>
  </si>
  <si>
    <t xml:space="preserve">Spirits </t>
  </si>
  <si>
    <t>Total Wine &amp; Spirits</t>
  </si>
  <si>
    <t>Consolidated Net Sales</t>
  </si>
  <si>
    <t>%change</t>
  </si>
  <si>
    <t>% of total</t>
  </si>
  <si>
    <t>spirits</t>
  </si>
  <si>
    <t>Sales reg</t>
  </si>
  <si>
    <t>quantity(cases)</t>
  </si>
  <si>
    <t>$volume change</t>
  </si>
  <si>
    <t>price per case</t>
  </si>
  <si>
    <t>%change in PPC</t>
  </si>
  <si>
    <t>% change In quantites</t>
  </si>
  <si>
    <t>$attri volume</t>
  </si>
  <si>
    <t>$attri price</t>
  </si>
  <si>
    <t>Gross profit Beer</t>
  </si>
  <si>
    <t>Gross profit Wine &amp; spirits</t>
  </si>
  <si>
    <t>% gross margin</t>
  </si>
  <si>
    <t>Wine &amp; spirits</t>
  </si>
  <si>
    <t>Beer net sales</t>
  </si>
  <si>
    <t>%change in price per case</t>
  </si>
  <si>
    <t xml:space="preserve">gross profit </t>
  </si>
  <si>
    <t xml:space="preserve">Net sales </t>
  </si>
  <si>
    <t>% margins</t>
  </si>
  <si>
    <t>% change</t>
  </si>
  <si>
    <t xml:space="preserve">%market share </t>
  </si>
  <si>
    <t xml:space="preserve">%change </t>
  </si>
  <si>
    <t>%chng market share</t>
  </si>
  <si>
    <t>Consellation ( 24-pack 12 ounce cases (mills)</t>
  </si>
  <si>
    <t>anheuser busch ( thouzands Hectoliters)</t>
  </si>
  <si>
    <t>dylan mulvany ?!?</t>
  </si>
  <si>
    <t xml:space="preserve">conversion </t>
  </si>
  <si>
    <t>hectoliter</t>
  </si>
  <si>
    <t>oz</t>
  </si>
  <si>
    <t>case</t>
  </si>
  <si>
    <t>equivalent units  Deo idk</t>
  </si>
  <si>
    <t>deo units</t>
  </si>
  <si>
    <t>DBC esimate (~%10.5)</t>
  </si>
  <si>
    <t>In hectoliter (thouzands)</t>
  </si>
  <si>
    <t>in hectoliter (thouzands)</t>
  </si>
  <si>
    <t>Diageo total (deo million units)</t>
  </si>
  <si>
    <t>BUD</t>
  </si>
  <si>
    <t>TAP</t>
  </si>
  <si>
    <t>Heiny</t>
  </si>
  <si>
    <t>Sam</t>
  </si>
  <si>
    <t>Deo</t>
  </si>
  <si>
    <t>Molson Coors (millions hecotliters)</t>
  </si>
  <si>
    <t>thouzands of hecotliters</t>
  </si>
  <si>
    <t>Boston beer (thouzands barrels)</t>
  </si>
  <si>
    <t>barrels</t>
  </si>
  <si>
    <t xml:space="preserve">hectoliters </t>
  </si>
  <si>
    <t>hectoliters thouzands</t>
  </si>
  <si>
    <t>in us market</t>
  </si>
  <si>
    <t>not as confident educated guess</t>
  </si>
  <si>
    <t>Heineken (million hectoliters) americas</t>
  </si>
  <si>
    <t>brazil</t>
  </si>
  <si>
    <t>mexico</t>
  </si>
  <si>
    <t>usa</t>
  </si>
  <si>
    <t>USA esimate in mhl</t>
  </si>
  <si>
    <t>rev in north america</t>
  </si>
  <si>
    <t>USA</t>
  </si>
  <si>
    <t>Canada</t>
  </si>
  <si>
    <t>total</t>
  </si>
  <si>
    <t>usa % volume</t>
  </si>
  <si>
    <t>usa volume in thznds hectoliters</t>
  </si>
  <si>
    <t xml:space="preserve"> in thzds</t>
  </si>
  <si>
    <t>pabst millions barrels</t>
  </si>
  <si>
    <t>thouzands of mhl</t>
  </si>
  <si>
    <t xml:space="preserve">Sierra Nevada millions of barrels </t>
  </si>
  <si>
    <t xml:space="preserve">Pabst </t>
  </si>
  <si>
    <t>Sierra nevada</t>
  </si>
  <si>
    <t>%share</t>
  </si>
  <si>
    <t>total cosumption (mhl)</t>
  </si>
  <si>
    <t>other</t>
  </si>
  <si>
    <t xml:space="preserve"> chng % share </t>
  </si>
  <si>
    <t>total big brands (thouzands hectoliters)</t>
  </si>
  <si>
    <t>year</t>
  </si>
  <si>
    <t>STZ sales in thznds hectoliters</t>
  </si>
  <si>
    <t xml:space="preserve">Divestitures of non core assets 
svetka and other non-core like wines
huge losses on canopy (weed) 4bn 
learned lesson leaning into buybacks 4 billion over the next 3 years ~1/6 of company
seasonality Q2 being biggest quarter =&gt; might be because of football
Remember to use pricing data to estimate elasticity to estimate tarrif impacts </t>
  </si>
  <si>
    <t>Excise taxes</t>
  </si>
  <si>
    <t xml:space="preserve">COGS </t>
  </si>
  <si>
    <t>Gross Profit</t>
  </si>
  <si>
    <t>SG &amp; A</t>
  </si>
  <si>
    <t>Goodwill &amp; intagible assets impairment</t>
  </si>
  <si>
    <t>Assets held for sales impairment</t>
  </si>
  <si>
    <t>Gain (loss) on sale of business</t>
  </si>
  <si>
    <t>Operating income (loss)</t>
  </si>
  <si>
    <t xml:space="preserve">Income (loss) from unconsolidated investments </t>
  </si>
  <si>
    <t>Income (loss) before taxes</t>
  </si>
  <si>
    <t>(Provision for) benefit from income taxes</t>
  </si>
  <si>
    <t>Net income (loss)</t>
  </si>
  <si>
    <t xml:space="preserve">Net (income) loss attributable to noncontrolling interests </t>
  </si>
  <si>
    <t>Net income (loss) attributable to CBI</t>
  </si>
  <si>
    <t xml:space="preserve">EPS </t>
  </si>
  <si>
    <t>Basic class A</t>
  </si>
  <si>
    <t>Basic class B</t>
  </si>
  <si>
    <t>Diluted class A</t>
  </si>
  <si>
    <t>Diluted class B</t>
  </si>
  <si>
    <t xml:space="preserve">Weighted Avg. shares </t>
  </si>
  <si>
    <t>Class A</t>
  </si>
  <si>
    <t>Class B</t>
  </si>
  <si>
    <t>Dividend Declared</t>
  </si>
  <si>
    <t>Start</t>
  </si>
  <si>
    <t>Comprehensive income (loss)</t>
  </si>
  <si>
    <t xml:space="preserve">Net income </t>
  </si>
  <si>
    <t>Other compreensive income (loss), net of income tax effect:</t>
  </si>
  <si>
    <t xml:space="preserve">Foreign currency translation adjustments </t>
  </si>
  <si>
    <t xml:space="preserve">Unrealized gain (loss) on cash flow hedges </t>
  </si>
  <si>
    <t xml:space="preserve">Pension/postretirement adjustments </t>
  </si>
  <si>
    <t xml:space="preserve">Share of other comprehensive income (loss) of equity method investments </t>
  </si>
  <si>
    <t>Other comprehensive income (loss), net of income tax effect:</t>
  </si>
  <si>
    <t>Comprehensive income(loss)</t>
  </si>
  <si>
    <t xml:space="preserve">Comprehensive (income) loss attributable to noncontrolling interests </t>
  </si>
  <si>
    <t>Comprehensive income (loss) attributable to CBI</t>
  </si>
  <si>
    <t>Millions except per share info</t>
  </si>
  <si>
    <t>Unrealized gain (loss) on available-for-sale debt securities</t>
  </si>
  <si>
    <t xml:space="preserve">Loss on extingushment of debt </t>
  </si>
  <si>
    <t>Impairment of brewery construction in progress</t>
  </si>
  <si>
    <t>NA</t>
  </si>
  <si>
    <t>Adjustments:</t>
  </si>
  <si>
    <t>Depreciation</t>
  </si>
  <si>
    <t>Defferred tax provision</t>
  </si>
  <si>
    <t xml:space="preserve">Amortization &amp; impairment of intangible assets </t>
  </si>
  <si>
    <t>Stock-based comp</t>
  </si>
  <si>
    <t>Change in operating assets &amp; liabilites, net of effects from purchases of biz.:</t>
  </si>
  <si>
    <t>Accounts receivable</t>
  </si>
  <si>
    <t xml:space="preserve">Inventories </t>
  </si>
  <si>
    <t>Prepraid expenses &amp; other current assets</t>
  </si>
  <si>
    <t>Accounts payables</t>
  </si>
  <si>
    <t>Accrued excise taxes</t>
  </si>
  <si>
    <t>Other accrued expense &amp; liabilites</t>
  </si>
  <si>
    <t>Other</t>
  </si>
  <si>
    <t xml:space="preserve">Total adjustments </t>
  </si>
  <si>
    <t>Net cash provided by operating activities</t>
  </si>
  <si>
    <t>Cashflow from investing:</t>
  </si>
  <si>
    <t>Cashflow from operating activities:</t>
  </si>
  <si>
    <t>Purchase of businesses, net of cash acquired</t>
  </si>
  <si>
    <t>Purchase of PP&amp;E</t>
  </si>
  <si>
    <t>Cash from sale of business</t>
  </si>
  <si>
    <t>Other Investing activity</t>
  </si>
  <si>
    <t xml:space="preserve">Net cash used in investing activities </t>
  </si>
  <si>
    <t>Proceeds from inssuance of long-term debt</t>
  </si>
  <si>
    <t xml:space="preserve">Net proceeds from notes payable </t>
  </si>
  <si>
    <t>Excess tax benefits from stock-based payment awards</t>
  </si>
  <si>
    <t xml:space="preserve">Proceeds from shares issued under equity compensation plans </t>
  </si>
  <si>
    <t xml:space="preserve">Dividends paid </t>
  </si>
  <si>
    <t xml:space="preserve">principal payments of long-term debt </t>
  </si>
  <si>
    <t xml:space="preserve">Payments of minimum tax withholdings on stock based payment awards </t>
  </si>
  <si>
    <t xml:space="preserve">Purchase of Treasury stock </t>
  </si>
  <si>
    <t>Payments of Delayed purchase price arrangement</t>
  </si>
  <si>
    <t>Net cash provided by (used in ) financing activities</t>
  </si>
  <si>
    <t xml:space="preserve">Effect of exchange rate change on cash and cash equivalents </t>
  </si>
  <si>
    <t xml:space="preserve">Net increase (decrease ) in cash and equivalents </t>
  </si>
  <si>
    <t xml:space="preserve">Cash &amp; cash equivalents, beginning of year </t>
  </si>
  <si>
    <t xml:space="preserve">Cash &amp; cash equivalents, end of year </t>
  </si>
  <si>
    <t>Supplemnetal disclosures of cash flow information:</t>
  </si>
  <si>
    <t>Cash paid during the year for:</t>
  </si>
  <si>
    <t xml:space="preserve">Interest </t>
  </si>
  <si>
    <t xml:space="preserve">Income Taxes, net of refunds received </t>
  </si>
  <si>
    <t xml:space="preserve">Cash flows from financing activities: </t>
  </si>
  <si>
    <t>Payments of debt issuance cost</t>
  </si>
  <si>
    <t>FCFF</t>
  </si>
  <si>
    <t>capex % of rev</t>
  </si>
  <si>
    <t xml:space="preserve">Unrealized net gain on securities measured at fair value </t>
  </si>
  <si>
    <t>Net income tax benefit related to the tax cuts &amp; jobs act</t>
  </si>
  <si>
    <t>Investments in equity method investees &amp; securities</t>
  </si>
  <si>
    <t>Proceeds from unconsolidated investment</t>
  </si>
  <si>
    <t xml:space="preserve">Proceed from sale of assets </t>
  </si>
  <si>
    <t>Net proceeds from short-term borrowing</t>
  </si>
  <si>
    <t>Amortization of debt issuance costs &amp; loss on extinguishment of debt</t>
  </si>
  <si>
    <t xml:space="preserve">Equity in (earnings) losses of equity method investees &amp; related activities, net of distributed earnings </t>
  </si>
  <si>
    <t>non-cash lease expense</t>
  </si>
  <si>
    <t>Loss on inventory and  related contract termination</t>
  </si>
  <si>
    <t>Gain(loss) on sale of business</t>
  </si>
  <si>
    <t>Impairment on assets held for sale</t>
  </si>
  <si>
    <t>Net gain(loss) on sale of unconsolidated investment</t>
  </si>
  <si>
    <t>deffered revenue</t>
  </si>
  <si>
    <t>Payment of contingent consideration</t>
  </si>
  <si>
    <t>FCFF margin</t>
  </si>
  <si>
    <t>non-cash portion of loss on write-off debt issuace cost</t>
  </si>
  <si>
    <t>Loss on settlement of treasuy stock lock contract</t>
  </si>
  <si>
    <t xml:space="preserve">Impairment of long lived assets </t>
  </si>
  <si>
    <t xml:space="preserve">Impairment of equity method investments </t>
  </si>
  <si>
    <t xml:space="preserve">gain (loss) on settlement of Pre-issuance hedge contracts </t>
  </si>
  <si>
    <t>Payment oto holders of Class B stock in connection w/Reclassification</t>
  </si>
  <si>
    <t xml:space="preserve">Distributions noncontrolling interests </t>
  </si>
  <si>
    <t>% change in FCFF</t>
  </si>
  <si>
    <t>Net gain in connection with Exchangeable shares</t>
  </si>
  <si>
    <t>Purchase of non-controlling interest</t>
  </si>
  <si>
    <t xml:space="preserve">current ratings </t>
  </si>
  <si>
    <t xml:space="preserve">moody's </t>
  </si>
  <si>
    <t>S&amp;P</t>
  </si>
  <si>
    <t>BBB</t>
  </si>
  <si>
    <t>Baa2</t>
  </si>
  <si>
    <t>millions</t>
  </si>
  <si>
    <t>Total</t>
  </si>
  <si>
    <t>market yeild</t>
  </si>
  <si>
    <t>Baa =&gt;</t>
  </si>
  <si>
    <t>Beta (unlevered)</t>
  </si>
  <si>
    <t xml:space="preserve">Debt </t>
  </si>
  <si>
    <t xml:space="preserve">Equity </t>
  </si>
  <si>
    <t xml:space="preserve">shares outstanding </t>
  </si>
  <si>
    <t xml:space="preserve">market cap </t>
  </si>
  <si>
    <t>WACC</t>
  </si>
  <si>
    <t>beverage (achoholic)</t>
  </si>
  <si>
    <t xml:space="preserve">Beta (levered) </t>
  </si>
  <si>
    <t>price share</t>
  </si>
  <si>
    <t xml:space="preserve">10-year </t>
  </si>
  <si>
    <t>risk premium</t>
  </si>
  <si>
    <t xml:space="preserve">total </t>
  </si>
  <si>
    <t>Bond Series</t>
  </si>
  <si>
    <t>Principal (in millions)</t>
  </si>
  <si>
    <t>Coupon Rate</t>
  </si>
  <si>
    <t>Maturity Date</t>
  </si>
  <si>
    <t>Estimated Market Value (in millions)</t>
  </si>
  <si>
    <t>4.75% Senior Notes</t>
  </si>
  <si>
    <t>3.70% Senior Notes</t>
  </si>
  <si>
    <t>4.50% Senior Notes</t>
  </si>
  <si>
    <t>3.60% Senior Notes</t>
  </si>
  <si>
    <t>4.10% Senior Notes</t>
  </si>
  <si>
    <t>4.40% Senior Notes</t>
  </si>
  <si>
    <t>4.65% Senior Notes</t>
  </si>
  <si>
    <t>5.25% Senior Notes</t>
  </si>
  <si>
    <t>3.15% Senior Notes</t>
  </si>
  <si>
    <t>2.875% Senior Notes</t>
  </si>
  <si>
    <t>3.75% Senior Notes</t>
  </si>
  <si>
    <t>2.25% Senior Notes</t>
  </si>
  <si>
    <t>4.35% Senior Notes</t>
  </si>
  <si>
    <t>4.90% Senior Notes</t>
  </si>
  <si>
    <t>4.80% Senior Notes</t>
  </si>
  <si>
    <t>market value of EV</t>
  </si>
  <si>
    <t xml:space="preserve">market price of equity </t>
  </si>
  <si>
    <t>As of Feb 28, 2025</t>
  </si>
  <si>
    <t>As of May 31, 2025</t>
  </si>
  <si>
    <t>Inputs from Schedule:</t>
  </si>
  <si>
    <t>Outstanding Borrowings (Face Value)</t>
  </si>
  <si>
    <t>$806.7 million</t>
  </si>
  <si>
    <t>$377.5 million</t>
  </si>
  <si>
    <t>Weighted Avg. Annual Interest Rate</t>
  </si>
  <si>
    <t>Weighted Avg. Remaining Term</t>
  </si>
  <si>
    <t>13 days</t>
  </si>
  <si>
    <t>3 days</t>
  </si>
  <si>
    <t>Pricing Calculation:</t>
  </si>
  <si>
    <t>Discount Factor</t>
  </si>
  <si>
    <t>Calculated Market Value (Price)</t>
  </si>
  <si>
    <t>Difference (Face Value - Market Value)</t>
  </si>
  <si>
    <t>$1.35 million</t>
  </si>
  <si>
    <t>$0.14 million</t>
  </si>
  <si>
    <t xml:space="preserve">value </t>
  </si>
  <si>
    <t>marketprice of long-term debt</t>
  </si>
  <si>
    <t>market price of paper</t>
  </si>
  <si>
    <t xml:space="preserve">debt financing </t>
  </si>
  <si>
    <t>equity financing</t>
  </si>
  <si>
    <t xml:space="preserve">tax rate </t>
  </si>
  <si>
    <t xml:space="preserve">cost of equity </t>
  </si>
  <si>
    <t xml:space="preserve">cost of debt </t>
  </si>
  <si>
    <t>CAPM(levered)</t>
  </si>
  <si>
    <t>&gt; maybe .61</t>
  </si>
  <si>
    <t>&gt; oct 1st 2025 damduran</t>
  </si>
  <si>
    <t>SG &amp; A % Rev.</t>
  </si>
  <si>
    <t xml:space="preserve">excise tax % rev </t>
  </si>
  <si>
    <t>STZ beer volume in USA (THL)</t>
  </si>
  <si>
    <t>Beer volumes In the USA (THL)</t>
  </si>
  <si>
    <t>STZ beer volume in USA (million cases)</t>
  </si>
  <si>
    <t xml:space="preserve">% change </t>
  </si>
  <si>
    <t xml:space="preserve">Market share </t>
  </si>
  <si>
    <t xml:space="preserve">difference </t>
  </si>
  <si>
    <t>hispanic population (millions)</t>
  </si>
  <si>
    <t>us population (millions)</t>
  </si>
  <si>
    <t>% of USA</t>
  </si>
  <si>
    <t xml:space="preserve">Drinking age Americans </t>
  </si>
  <si>
    <t>Drinking age hispanics</t>
  </si>
  <si>
    <t>drinking age share hispanics</t>
  </si>
  <si>
    <t>Census Sanity data: -not just hispanics drink cervesas -</t>
  </si>
  <si>
    <t xml:space="preserve">beer price per case </t>
  </si>
  <si>
    <t>wine &amp; spirit volume (Cases)</t>
  </si>
  <si>
    <t>wine &amp; spirit price per case</t>
  </si>
  <si>
    <t xml:space="preserve">Total net sales </t>
  </si>
  <si>
    <t xml:space="preserve">Gross profit </t>
  </si>
  <si>
    <t>Year</t>
  </si>
  <si>
    <t>Projected Annual Interest Expense (in millions)</t>
  </si>
  <si>
    <t>...</t>
  </si>
  <si>
    <t>2051+ (Stable)</t>
  </si>
  <si>
    <t>NOPAT</t>
  </si>
  <si>
    <t>PP&amp;E</t>
  </si>
  <si>
    <t xml:space="preserve">depreciation </t>
  </si>
  <si>
    <t>capex</t>
  </si>
  <si>
    <t>PV of FCFF</t>
  </si>
  <si>
    <t>TV</t>
  </si>
  <si>
    <t>terminal GR</t>
  </si>
  <si>
    <t xml:space="preserve">share count </t>
  </si>
  <si>
    <t>fair value</t>
  </si>
  <si>
    <t>share value</t>
  </si>
  <si>
    <t>current share price</t>
  </si>
  <si>
    <t>upside</t>
  </si>
  <si>
    <t xml:space="preserve">total cosumption in thznds hectoliter </t>
  </si>
  <si>
    <t>% margin</t>
  </si>
  <si>
    <t xml:space="preserve">year </t>
  </si>
  <si>
    <t>PV of termial value</t>
  </si>
  <si>
    <t>~11bn</t>
  </si>
  <si>
    <t>$mill</t>
  </si>
  <si>
    <t xml:space="preserve">prevailing rate is </t>
  </si>
  <si>
    <t>date</t>
  </si>
  <si>
    <t>PV FCFF</t>
  </si>
  <si>
    <t>(diluted)</t>
  </si>
  <si>
    <t>Tarriff</t>
  </si>
  <si>
    <t>absorbed by stz</t>
  </si>
  <si>
    <t xml:space="preserve">gross profit under tarriff regime </t>
  </si>
  <si>
    <t xml:space="preserve">FCFF under Tarriff regime </t>
  </si>
  <si>
    <t xml:space="preserve">Tarriff regime </t>
  </si>
  <si>
    <t>PV TV</t>
  </si>
  <si>
    <t xml:space="preserve">share value </t>
  </si>
  <si>
    <t>weighted valuation</t>
  </si>
  <si>
    <t>30% prob</t>
  </si>
  <si>
    <t>tarriff</t>
  </si>
  <si>
    <t xml:space="preserve">estimate </t>
  </si>
  <si>
    <t>abosrbed by consumer</t>
  </si>
  <si>
    <t>net sale in tarriff regime</t>
  </si>
  <si>
    <t>reg.</t>
  </si>
  <si>
    <t xml:space="preserve">conservative </t>
  </si>
  <si>
    <t>optimitstic</t>
  </si>
  <si>
    <t>optimistic</t>
  </si>
  <si>
    <t xml:space="preserve">optimitstic </t>
  </si>
  <si>
    <t>estimated value</t>
  </si>
  <si>
    <t xml:space="preserve">Tarriff </t>
  </si>
  <si>
    <t>PV TV - t</t>
  </si>
  <si>
    <t xml:space="preserve">optimistic </t>
  </si>
  <si>
    <t xml:space="preserve">weighted valuation </t>
  </si>
  <si>
    <t>conservative FCFF</t>
  </si>
  <si>
    <t>conservative FCFF tariff</t>
  </si>
  <si>
    <t xml:space="preserve">E -supply </t>
  </si>
  <si>
    <t>E -demand</t>
  </si>
  <si>
    <t>PV TV -R.</t>
  </si>
  <si>
    <t>Change in NWC</t>
  </si>
  <si>
    <t>change in NWC as a % of net sales</t>
  </si>
  <si>
    <t>change in NWC</t>
  </si>
  <si>
    <t>% of net 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</si>
</sst>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0.000%"/>
    <numFmt numFmtId="166" formatCode="_(* #,##0.000_);_(* \(#,##0.000\);_(* &quot;-&quot;??_);_(@_)"/>
    <numFmt numFmtId="167" formatCode="0.000"/>
    <numFmt numFmtId="168" formatCode="0.0000%"/>
    <numFmt numFmtId="169" formatCode="0.0"/>
    <numFmt numFmtId="170" formatCode="&quot;$&quot;#,##0.000_);[Red]\(&quot;$&quot;#,##0.000\)"/>
  </numFmts>
  <fonts count="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1"/>
      <color theme="3"/>
      <name val="Aptos Narrow"/>
      <family val="2"/>
      <scheme val="minor"/>
    </font>
    <font>
      <i/>
      <sz val="12"/>
      <color theme="1"/>
      <name val="Aptos Narrow"/>
      <scheme val="minor"/>
    </font>
    <font>
      <sz val="10"/>
      <color theme="1"/>
      <name val="Arial"/>
      <family val="2"/>
    </font>
    <font>
      <b/>
      <sz val="13"/>
      <color theme="3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 style="thick">
        <color theme="4" tint="0.499984740745262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4" applyNumberFormat="0" applyFill="0" applyAlignment="0" applyProtection="0"/>
    <xf numFmtId="0" fontId="8" fillId="0" borderId="9" applyNumberFormat="0" applyFill="0" applyAlignment="0" applyProtection="0"/>
  </cellStyleXfs>
  <cellXfs count="68">
    <xf numFmtId="0" fontId="0" fillId="0" borderId="0" xfId="0"/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left" indent="1"/>
    </xf>
    <xf numFmtId="44" fontId="0" fillId="0" borderId="1" xfId="2" applyFont="1" applyBorder="1"/>
    <xf numFmtId="44" fontId="0" fillId="0" borderId="1" xfId="0" applyNumberFormat="1" applyBorder="1"/>
    <xf numFmtId="0" fontId="4" fillId="0" borderId="0" xfId="0" applyFont="1" applyAlignment="1">
      <alignment horizontal="left" indent="1"/>
    </xf>
    <xf numFmtId="44" fontId="0" fillId="0" borderId="0" xfId="2" applyFont="1"/>
    <xf numFmtId="44" fontId="0" fillId="0" borderId="2" xfId="2" applyFont="1" applyBorder="1"/>
    <xf numFmtId="0" fontId="3" fillId="0" borderId="0" xfId="0" applyFont="1" applyAlignment="1">
      <alignment horizontal="left"/>
    </xf>
    <xf numFmtId="44" fontId="0" fillId="0" borderId="2" xfId="0" applyNumberFormat="1" applyBorder="1"/>
    <xf numFmtId="43" fontId="0" fillId="0" borderId="0" xfId="1" applyFont="1"/>
    <xf numFmtId="43" fontId="0" fillId="0" borderId="1" xfId="1" applyFont="1" applyBorder="1"/>
    <xf numFmtId="44" fontId="0" fillId="0" borderId="3" xfId="2" applyFont="1" applyBorder="1"/>
    <xf numFmtId="43" fontId="0" fillId="0" borderId="0" xfId="1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indent="2"/>
    </xf>
    <xf numFmtId="9" fontId="0" fillId="0" borderId="0" xfId="3" applyFont="1"/>
    <xf numFmtId="43" fontId="0" fillId="0" borderId="0" xfId="0" applyNumberFormat="1"/>
    <xf numFmtId="9" fontId="0" fillId="0" borderId="0" xfId="0" applyNumberFormat="1"/>
    <xf numFmtId="164" fontId="0" fillId="0" borderId="0" xfId="3" applyNumberFormat="1" applyFont="1"/>
    <xf numFmtId="164" fontId="0" fillId="0" borderId="0" xfId="0" applyNumberFormat="1"/>
    <xf numFmtId="44" fontId="0" fillId="0" borderId="0" xfId="0" applyNumberFormat="1"/>
    <xf numFmtId="165" fontId="0" fillId="0" borderId="0" xfId="3" applyNumberFormat="1" applyFont="1"/>
    <xf numFmtId="0" fontId="5" fillId="0" borderId="4" xfId="4"/>
    <xf numFmtId="10" fontId="0" fillId="0" borderId="0" xfId="3" applyNumberFormat="1" applyFont="1"/>
    <xf numFmtId="0" fontId="3" fillId="0" borderId="0" xfId="0" applyFont="1" applyAlignment="1">
      <alignment horizontal="left" indent="1"/>
    </xf>
    <xf numFmtId="0" fontId="0" fillId="0" borderId="0" xfId="1" applyNumberFormat="1" applyFont="1"/>
    <xf numFmtId="0" fontId="4" fillId="0" borderId="0" xfId="0" applyFont="1"/>
    <xf numFmtId="44" fontId="3" fillId="0" borderId="2" xfId="2" applyFont="1" applyBorder="1"/>
    <xf numFmtId="43" fontId="3" fillId="0" borderId="1" xfId="1" applyFont="1" applyBorder="1"/>
    <xf numFmtId="44" fontId="3" fillId="0" borderId="0" xfId="2" applyFont="1"/>
    <xf numFmtId="44" fontId="3" fillId="0" borderId="5" xfId="0" applyNumberFormat="1" applyFont="1" applyBorder="1"/>
    <xf numFmtId="44" fontId="3" fillId="0" borderId="3" xfId="0" applyNumberFormat="1" applyFont="1" applyBorder="1"/>
    <xf numFmtId="166" fontId="0" fillId="0" borderId="0" xfId="1" applyNumberFormat="1" applyFont="1"/>
    <xf numFmtId="167" fontId="0" fillId="0" borderId="0" xfId="0" applyNumberFormat="1"/>
    <xf numFmtId="0" fontId="3" fillId="0" borderId="0" xfId="0" applyFont="1" applyAlignment="1">
      <alignment horizontal="left" indent="2"/>
    </xf>
    <xf numFmtId="0" fontId="0" fillId="0" borderId="3" xfId="0" applyBorder="1"/>
    <xf numFmtId="43" fontId="0" fillId="0" borderId="6" xfId="1" applyFont="1" applyBorder="1"/>
    <xf numFmtId="43" fontId="0" fillId="0" borderId="3" xfId="0" applyNumberFormat="1" applyBorder="1"/>
    <xf numFmtId="43" fontId="0" fillId="0" borderId="5" xfId="0" applyNumberFormat="1" applyBorder="1"/>
    <xf numFmtId="168" fontId="0" fillId="0" borderId="0" xfId="0" applyNumberFormat="1"/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vertical="center"/>
    </xf>
    <xf numFmtId="8" fontId="0" fillId="0" borderId="0" xfId="0" applyNumberFormat="1"/>
    <xf numFmtId="8" fontId="7" fillId="0" borderId="7" xfId="0" applyNumberFormat="1" applyFont="1" applyBorder="1" applyAlignment="1">
      <alignment horizontal="right" wrapText="1"/>
    </xf>
    <xf numFmtId="10" fontId="0" fillId="0" borderId="0" xfId="0" applyNumberFormat="1"/>
    <xf numFmtId="10" fontId="7" fillId="0" borderId="7" xfId="0" applyNumberFormat="1" applyFont="1" applyBorder="1" applyAlignment="1">
      <alignment horizontal="right" wrapText="1"/>
    </xf>
    <xf numFmtId="17" fontId="7" fillId="0" borderId="7" xfId="0" applyNumberFormat="1" applyFont="1" applyBorder="1" applyAlignment="1">
      <alignment horizontal="right" wrapText="1"/>
    </xf>
    <xf numFmtId="0" fontId="0" fillId="0" borderId="5" xfId="0" applyBorder="1"/>
    <xf numFmtId="0" fontId="7" fillId="0" borderId="0" xfId="0" applyFont="1" applyAlignment="1">
      <alignment wrapText="1"/>
    </xf>
    <xf numFmtId="8" fontId="7" fillId="0" borderId="0" xfId="0" applyNumberFormat="1" applyFont="1" applyAlignment="1">
      <alignment horizontal="right" wrapText="1"/>
    </xf>
    <xf numFmtId="0" fontId="7" fillId="0" borderId="7" xfId="0" applyFont="1" applyBorder="1" applyAlignment="1">
      <alignment horizontal="right" wrapText="1"/>
    </xf>
    <xf numFmtId="8" fontId="7" fillId="0" borderId="7" xfId="0" applyNumberFormat="1" applyFont="1" applyBorder="1" applyAlignment="1">
      <alignment wrapText="1"/>
    </xf>
    <xf numFmtId="0" fontId="7" fillId="0" borderId="8" xfId="0" applyFont="1" applyBorder="1" applyAlignment="1">
      <alignment wrapText="1"/>
    </xf>
    <xf numFmtId="169" fontId="0" fillId="0" borderId="0" xfId="0" applyNumberFormat="1"/>
    <xf numFmtId="1" fontId="0" fillId="0" borderId="0" xfId="0" applyNumberFormat="1"/>
    <xf numFmtId="44" fontId="3" fillId="0" borderId="1" xfId="0" applyNumberFormat="1" applyFont="1" applyBorder="1"/>
    <xf numFmtId="44" fontId="3" fillId="0" borderId="1" xfId="2" applyFont="1" applyBorder="1"/>
    <xf numFmtId="170" fontId="7" fillId="0" borderId="7" xfId="0" applyNumberFormat="1" applyFont="1" applyBorder="1" applyAlignment="1">
      <alignment horizontal="right" wrapText="1"/>
    </xf>
    <xf numFmtId="44" fontId="0" fillId="0" borderId="0" xfId="3" applyNumberFormat="1" applyFont="1"/>
    <xf numFmtId="43" fontId="0" fillId="0" borderId="0" xfId="3" applyNumberFormat="1" applyFont="1"/>
    <xf numFmtId="166" fontId="0" fillId="0" borderId="0" xfId="0" applyNumberForma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0" borderId="9" xfId="5" applyAlignment="1">
      <alignment horizont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/>
    </xf>
  </cellXfs>
  <cellStyles count="6">
    <cellStyle name="Comma" xfId="1" builtinId="3"/>
    <cellStyle name="Currency" xfId="2" builtinId="4"/>
    <cellStyle name="Heading 2" xfId="5" builtinId="17"/>
    <cellStyle name="Heading 3" xfId="4" builtinId="1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hartsheet" Target="chartsheets/sheet5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chartsheet" Target="chartsheets/sheet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hartsheet" Target="chartsheets/sheet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chartsheet" Target="chartsheets/sheet2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hartsheet" Target="chartsheets/sheet1.xml"/><Relationship Id="rId14" Type="http://schemas.openxmlformats.org/officeDocument/2006/relationships/chartsheet" Target="chartsheets/sheet6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market value of enterprize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1-59CE-4623-81B2-ECB98249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2-59CE-4623-81B2-ECB98249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13-59CE-4623-81B2-ECB982492673}"/>
              </c:ext>
            </c:extLst>
          </c:dPt>
          <c:dLbls>
            <c:spPr>
              <a:pattFill prst="pct75">
                <a:fgClr>
                  <a:sysClr val="windowText" lastClr="000000">
                    <a:lumMod val="75000"/>
                    <a:lumOff val="25000"/>
                  </a:sysClr>
                </a:fgClr>
                <a:bgClr>
                  <a:sysClr val="windowText" lastClr="000000">
                    <a:lumMod val="65000"/>
                    <a:lumOff val="35000"/>
                  </a:sys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WACC!$E$36:$E$38</c:f>
              <c:strCache>
                <c:ptCount val="3"/>
                <c:pt idx="0">
                  <c:v>market price of equity </c:v>
                </c:pt>
                <c:pt idx="1">
                  <c:v>marketprice of long-term debt</c:v>
                </c:pt>
                <c:pt idx="2">
                  <c:v>market price of paper</c:v>
                </c:pt>
              </c:strCache>
            </c:strRef>
          </c:cat>
          <c:val>
            <c:numRef>
              <c:f>WACC!$F$36:$F$38</c:f>
              <c:numCache>
                <c:formatCode>"$"#,##0.00_);[Red]\("$"#,##0.00\)</c:formatCode>
                <c:ptCount val="3"/>
                <c:pt idx="0" formatCode="_(&quot;$&quot;* #,##0.00_);_(&quot;$&quot;* \(#,##0.00\);_(&quot;$&quot;* &quot;-&quot;??_);_(@_)">
                  <c:v>24731.849450000002</c:v>
                </c:pt>
                <c:pt idx="1">
                  <c:v>8884.8123139883137</c:v>
                </c:pt>
                <c:pt idx="2">
                  <c:v>1182.71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9CE-4623-81B2-ECB982492673}"/>
            </c:ext>
          </c:extLst>
        </c:ser>
        <c:ser>
          <c:idx val="0"/>
          <c:order val="1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59CE-4623-81B2-ECB9824926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C-59CE-4623-81B2-ECB9824926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E-59CE-4623-81B2-ECB982492673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WACC!$E$36:$E$38</c:f>
              <c:strCache>
                <c:ptCount val="3"/>
                <c:pt idx="0">
                  <c:v>market price of equity </c:v>
                </c:pt>
                <c:pt idx="1">
                  <c:v>marketprice of long-term debt</c:v>
                </c:pt>
                <c:pt idx="2">
                  <c:v>market price of paper</c:v>
                </c:pt>
              </c:strCache>
            </c:strRef>
          </c:cat>
          <c:val>
            <c:numRef>
              <c:f>WACC!$F$36:$F$38</c:f>
              <c:numCache>
                <c:formatCode>"$"#,##0.00_);[Red]\("$"#,##0.00\)</c:formatCode>
                <c:ptCount val="3"/>
                <c:pt idx="0" formatCode="_(&quot;$&quot;* #,##0.00_);_(&quot;$&quot;* \(#,##0.00\);_(&quot;$&quot;* &quot;-&quot;??_);_(@_)">
                  <c:v>24731.849450000002</c:v>
                </c:pt>
                <c:pt idx="1">
                  <c:v>8884.8123139883137</c:v>
                </c:pt>
                <c:pt idx="2">
                  <c:v>1182.71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9CE-4623-81B2-ECB98249267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Over</a:t>
            </a:r>
            <a:r>
              <a:rPr lang="en-US" baseline="0"/>
              <a:t>all volumes and market share projection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2"/>
          <c:order val="2"/>
          <c:tx>
            <c:strRef>
              <c:f>'FCFF model'!$A$23</c:f>
              <c:strCache>
                <c:ptCount val="1"/>
                <c:pt idx="0">
                  <c:v>Market share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atMod val="103000"/>
                    <a:lumMod val="102000"/>
                    <a:tint val="94000"/>
                  </a:schemeClr>
                </a:gs>
                <a:gs pos="50000">
                  <a:schemeClr val="accent3">
                    <a:satMod val="110000"/>
                    <a:lumMod val="100000"/>
                    <a:shade val="100000"/>
                  </a:schemeClr>
                </a:gs>
                <a:gs pos="100000">
                  <a:schemeClr val="accent3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model'!$B$23:$P$23</c:f>
              <c:numCache>
                <c:formatCode>0.0%</c:formatCode>
                <c:ptCount val="15"/>
                <c:pt idx="0">
                  <c:v>8.1796006930830334E-2</c:v>
                </c:pt>
                <c:pt idx="1">
                  <c:v>9.1304193529307381E-2</c:v>
                </c:pt>
                <c:pt idx="2">
                  <c:v>0.10116733822671264</c:v>
                </c:pt>
                <c:pt idx="3">
                  <c:v>0.10742829933331598</c:v>
                </c:pt>
                <c:pt idx="4">
                  <c:v>0.11565946326696312</c:v>
                </c:pt>
                <c:pt idx="5">
                  <c:v>0.1283391712441635</c:v>
                </c:pt>
                <c:pt idx="6">
                  <c:v>0.13986866349268859</c:v>
                </c:pt>
                <c:pt idx="7">
                  <c:v>0.15329461434729369</c:v>
                </c:pt>
                <c:pt idx="8">
                  <c:v>0.16130347753811095</c:v>
                </c:pt>
                <c:pt idx="9">
                  <c:v>0.170522440672183</c:v>
                </c:pt>
                <c:pt idx="10">
                  <c:v>0.17949380724273545</c:v>
                </c:pt>
                <c:pt idx="11">
                  <c:v>0.18740718312258414</c:v>
                </c:pt>
                <c:pt idx="12">
                  <c:v>0.19506102645205659</c:v>
                </c:pt>
                <c:pt idx="13">
                  <c:v>0.20230432300165943</c:v>
                </c:pt>
                <c:pt idx="14">
                  <c:v>0.20906643077107798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57-40C4-96A2-7399E9B97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673471"/>
        <c:axId val="65673055"/>
      </c:areaChart>
      <c:barChart>
        <c:barDir val="col"/>
        <c:grouping val="stacked"/>
        <c:varyColors val="0"/>
        <c:ser>
          <c:idx val="0"/>
          <c:order val="0"/>
          <c:tx>
            <c:strRef>
              <c:f>'FCFF model'!$A$18</c:f>
              <c:strCache>
                <c:ptCount val="1"/>
                <c:pt idx="0">
                  <c:v>Beer volumes In the USA (THL)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model'!$B$18:$P$18</c:f>
              <c:numCache>
                <c:formatCode>General</c:formatCode>
                <c:ptCount val="15"/>
                <c:pt idx="0">
                  <c:v>252300</c:v>
                </c:pt>
                <c:pt idx="1">
                  <c:v>250000</c:v>
                </c:pt>
                <c:pt idx="2">
                  <c:v>247600</c:v>
                </c:pt>
                <c:pt idx="3">
                  <c:v>245300</c:v>
                </c:pt>
                <c:pt idx="4">
                  <c:v>246400</c:v>
                </c:pt>
                <c:pt idx="5">
                  <c:v>241700</c:v>
                </c:pt>
                <c:pt idx="6">
                  <c:v>237000</c:v>
                </c:pt>
                <c:pt idx="7">
                  <c:v>232300</c:v>
                </c:pt>
                <c:pt idx="8">
                  <c:v>228000</c:v>
                </c:pt>
                <c:pt idx="9" formatCode="0">
                  <c:v>223868.46813269291</c:v>
                </c:pt>
                <c:pt idx="10" formatCode="0">
                  <c:v>219902.96763958078</c:v>
                </c:pt>
                <c:pt idx="11" formatCode="0">
                  <c:v>216139.57905665357</c:v>
                </c:pt>
                <c:pt idx="12" formatCode="0">
                  <c:v>212543.07578946659</c:v>
                </c:pt>
                <c:pt idx="13" formatCode="0">
                  <c:v>209105.11196923646</c:v>
                </c:pt>
                <c:pt idx="14" formatCode="0">
                  <c:v>205822.20784766114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57-40C4-96A2-7399E9B97A30}"/>
            </c:ext>
          </c:extLst>
        </c:ser>
        <c:ser>
          <c:idx val="1"/>
          <c:order val="1"/>
          <c:tx>
            <c:strRef>
              <c:f>'FCFF model'!$A$22</c:f>
              <c:strCache>
                <c:ptCount val="1"/>
                <c:pt idx="0">
                  <c:v>STZ beer volume in USA (THL)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numRef>
              <c:f>'FCFF model'!$B$17:$P$17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model'!$B$22:$P$22</c:f>
              <c:numCache>
                <c:formatCode>_(* #,##0.00_);_(* \(#,##0.00\);_(* "-"??_);_(@_)</c:formatCode>
                <c:ptCount val="15"/>
                <c:pt idx="0">
                  <c:v>20637.132548648493</c:v>
                </c:pt>
                <c:pt idx="1">
                  <c:v>22826.048382326844</c:v>
                </c:pt>
                <c:pt idx="2">
                  <c:v>25049.03294493405</c:v>
                </c:pt>
                <c:pt idx="3">
                  <c:v>26352.161826462408</c:v>
                </c:pt>
                <c:pt idx="4">
                  <c:v>28498.491748979712</c:v>
                </c:pt>
                <c:pt idx="5">
                  <c:v>31019.577689714319</c:v>
                </c:pt>
                <c:pt idx="6">
                  <c:v>33148.873247767195</c:v>
                </c:pt>
                <c:pt idx="7">
                  <c:v>35610.338912876323</c:v>
                </c:pt>
                <c:pt idx="8">
                  <c:v>36777.192878689297</c:v>
                </c:pt>
                <c:pt idx="9">
                  <c:v>38174.597575529617</c:v>
                </c:pt>
                <c:pt idx="10">
                  <c:v>39471.220885604402</c:v>
                </c:pt>
                <c:pt idx="11">
                  <c:v>40506.109672308528</c:v>
                </c:pt>
                <c:pt idx="12">
                  <c:v>41458.870528770611</c:v>
                </c:pt>
                <c:pt idx="13">
                  <c:v>42302.868113122575</c:v>
                </c:pt>
                <c:pt idx="14">
                  <c:v>43030.514368133467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057-40C4-96A2-7399E9B97A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65674719"/>
        <c:axId val="65674303"/>
      </c:barChart>
      <c:catAx>
        <c:axId val="656747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4303"/>
        <c:crosses val="autoZero"/>
        <c:auto val="1"/>
        <c:lblAlgn val="ctr"/>
        <c:lblOffset val="100"/>
        <c:noMultiLvlLbl val="0"/>
      </c:catAx>
      <c:valAx>
        <c:axId val="65674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4719"/>
        <c:crosses val="autoZero"/>
        <c:crossBetween val="between"/>
      </c:valAx>
      <c:valAx>
        <c:axId val="6567305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673471"/>
        <c:crosses val="max"/>
        <c:crossBetween val="between"/>
      </c:valAx>
      <c:catAx>
        <c:axId val="6567347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5673055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net sales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'FCFF model'!$A$38</c:f>
              <c:strCache>
                <c:ptCount val="1"/>
                <c:pt idx="0">
                  <c:v>Beer net 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model'!$B$38:$P$38</c:f>
              <c:numCache>
                <c:formatCode>_(* #,##0.00_);_(* \(#,##0.00\);_(* "-"??_);_(@_)</c:formatCode>
                <c:ptCount val="15"/>
                <c:pt idx="0" formatCode="_(&quot;$&quot;* #,##0.00_);_(&quot;$&quot;* \(#,##0.00\);_(&quot;$&quot;* &quot;-&quot;??_);_(@_)">
                  <c:v>4227.3</c:v>
                </c:pt>
                <c:pt idx="1">
                  <c:v>4660.3999999999996</c:v>
                </c:pt>
                <c:pt idx="2">
                  <c:v>5202.1000000000004</c:v>
                </c:pt>
                <c:pt idx="3">
                  <c:v>5615.9</c:v>
                </c:pt>
                <c:pt idx="4">
                  <c:v>6074.6</c:v>
                </c:pt>
                <c:pt idx="5">
                  <c:v>6751.6</c:v>
                </c:pt>
                <c:pt idx="6">
                  <c:v>7465</c:v>
                </c:pt>
                <c:pt idx="7">
                  <c:v>8162.6</c:v>
                </c:pt>
                <c:pt idx="8">
                  <c:v>8539.7999999999993</c:v>
                </c:pt>
                <c:pt idx="9">
                  <c:v>8935.1967912952696</c:v>
                </c:pt>
                <c:pt idx="10">
                  <c:v>9312.5956471925329</c:v>
                </c:pt>
                <c:pt idx="11">
                  <c:v>9633.2149919049498</c:v>
                </c:pt>
                <c:pt idx="12">
                  <c:v>9938.6802160716434</c:v>
                </c:pt>
                <c:pt idx="13">
                  <c:v>10222.134622120835</c:v>
                </c:pt>
                <c:pt idx="14">
                  <c:v>10481.147973947109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AA-428D-8E8C-E89ADC8099DC}"/>
            </c:ext>
          </c:extLst>
        </c:ser>
        <c:ser>
          <c:idx val="1"/>
          <c:order val="1"/>
          <c:tx>
            <c:strRef>
              <c:f>'FCFF model'!$A$42</c:f>
              <c:strCache>
                <c:ptCount val="1"/>
                <c:pt idx="0">
                  <c:v>Wine &amp; spirits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model'!$B$42:$P$42</c:f>
              <c:numCache>
                <c:formatCode>_(* #,##0.00_);_(* \(#,##0.00\);_(* "-"??_);_(@_)</c:formatCode>
                <c:ptCount val="15"/>
                <c:pt idx="0" formatCode="_(&quot;$&quot;* #,##0.00_);_(&quot;$&quot;* \(#,##0.00\);_(&quot;$&quot;* &quot;-&quot;??_);_(@_)">
                  <c:v>3093.7999999999997</c:v>
                </c:pt>
                <c:pt idx="1">
                  <c:v>2919.9</c:v>
                </c:pt>
                <c:pt idx="2">
                  <c:v>2913.9</c:v>
                </c:pt>
                <c:pt idx="3">
                  <c:v>2727.6</c:v>
                </c:pt>
                <c:pt idx="4">
                  <c:v>2540.3000000000002</c:v>
                </c:pt>
                <c:pt idx="5">
                  <c:v>2069.1</c:v>
                </c:pt>
                <c:pt idx="6">
                  <c:v>1987.6</c:v>
                </c:pt>
                <c:pt idx="7">
                  <c:v>1799.1999999999998</c:v>
                </c:pt>
                <c:pt idx="8">
                  <c:v>1668.9</c:v>
                </c:pt>
                <c:pt idx="9">
                  <c:v>1599.3304308617273</c:v>
                </c:pt>
                <c:pt idx="10">
                  <c:v>1546.3543692464241</c:v>
                </c:pt>
                <c:pt idx="11">
                  <c:v>1491.8327161753009</c:v>
                </c:pt>
                <c:pt idx="12">
                  <c:v>1454.437402861621</c:v>
                </c:pt>
                <c:pt idx="13">
                  <c:v>1425.4543576101241</c:v>
                </c:pt>
                <c:pt idx="14">
                  <c:v>1401.2263035819717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9281567"/>
        <c:axId val="59278239"/>
      </c:areaChart>
      <c:lineChart>
        <c:grouping val="standard"/>
        <c:varyColors val="0"/>
        <c:ser>
          <c:idx val="2"/>
          <c:order val="2"/>
          <c:tx>
            <c:strRef>
              <c:f>'FCFF model'!$A$45</c:f>
              <c:strCache>
                <c:ptCount val="1"/>
                <c:pt idx="0">
                  <c:v>Total net sales 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model'!$B$45:$P$45</c:f>
              <c:numCache>
                <c:formatCode>_("$"* #,##0.00_);_("$"* \(#,##0.00\);_("$"* "-"??_);_(@_)</c:formatCode>
                <c:ptCount val="15"/>
                <c:pt idx="0">
                  <c:v>7321.1</c:v>
                </c:pt>
                <c:pt idx="1">
                  <c:v>7580.2999999999993</c:v>
                </c:pt>
                <c:pt idx="2">
                  <c:v>8116</c:v>
                </c:pt>
                <c:pt idx="3">
                  <c:v>8343.5</c:v>
                </c:pt>
                <c:pt idx="4">
                  <c:v>8614.9000000000015</c:v>
                </c:pt>
                <c:pt idx="5">
                  <c:v>8820.7000000000007</c:v>
                </c:pt>
                <c:pt idx="6">
                  <c:v>9452.6</c:v>
                </c:pt>
                <c:pt idx="7">
                  <c:v>9961.7999999999993</c:v>
                </c:pt>
                <c:pt idx="8">
                  <c:v>10208.699999999999</c:v>
                </c:pt>
                <c:pt idx="9">
                  <c:v>10534.527222156998</c:v>
                </c:pt>
                <c:pt idx="10">
                  <c:v>10858.950016438957</c:v>
                </c:pt>
                <c:pt idx="11">
                  <c:v>11125.04770808025</c:v>
                </c:pt>
                <c:pt idx="12">
                  <c:v>11393.117618933264</c:v>
                </c:pt>
                <c:pt idx="13">
                  <c:v>11647.588979730959</c:v>
                </c:pt>
                <c:pt idx="14">
                  <c:v>11882.374277529081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281567"/>
        <c:axId val="59278239"/>
      </c:lineChart>
      <c:lineChart>
        <c:grouping val="standard"/>
        <c:varyColors val="0"/>
        <c:ser>
          <c:idx val="3"/>
          <c:order val="3"/>
          <c:tx>
            <c:strRef>
              <c:f>'FCFF model'!$A$46</c:f>
              <c:strCache>
                <c:ptCount val="1"/>
                <c:pt idx="0">
                  <c:v>% change 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'FCFF model'!$B$37:$P$37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model'!$B$46:$P$46</c:f>
              <c:numCache>
                <c:formatCode>0%</c:formatCode>
                <c:ptCount val="15"/>
                <c:pt idx="1">
                  <c:v>3.5404515714851439E-2</c:v>
                </c:pt>
                <c:pt idx="2">
                  <c:v>7.0670026252259252E-2</c:v>
                </c:pt>
                <c:pt idx="3">
                  <c:v>2.8031049778215869E-2</c:v>
                </c:pt>
                <c:pt idx="4">
                  <c:v>3.2528315455144896E-2</c:v>
                </c:pt>
                <c:pt idx="5">
                  <c:v>2.3888843747460708E-2</c:v>
                </c:pt>
                <c:pt idx="6">
                  <c:v>7.1638305349915499E-2</c:v>
                </c:pt>
                <c:pt idx="7">
                  <c:v>5.3868776844465956E-2</c:v>
                </c:pt>
                <c:pt idx="8">
                  <c:v>2.4784677467927448E-2</c:v>
                </c:pt>
                <c:pt idx="9">
                  <c:v>3.1916622308129215E-2</c:v>
                </c:pt>
                <c:pt idx="10">
                  <c:v>3.0796141814471725E-2</c:v>
                </c:pt>
                <c:pt idx="11">
                  <c:v>2.450491909792913E-2</c:v>
                </c:pt>
                <c:pt idx="12">
                  <c:v>2.4096068429289626E-2</c:v>
                </c:pt>
                <c:pt idx="13">
                  <c:v>2.2335533548324911E-2</c:v>
                </c:pt>
                <c:pt idx="14">
                  <c:v>2.0157416114759324E-2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AA-428D-8E8C-E89ADC8099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285311"/>
        <c:axId val="59278655"/>
      </c:lineChart>
      <c:catAx>
        <c:axId val="59281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78239"/>
        <c:crosses val="autoZero"/>
        <c:auto val="1"/>
        <c:lblAlgn val="ctr"/>
        <c:lblOffset val="100"/>
        <c:noMultiLvlLbl val="0"/>
      </c:catAx>
      <c:valAx>
        <c:axId val="592782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81567"/>
        <c:crosses val="autoZero"/>
        <c:crossBetween val="between"/>
      </c:valAx>
      <c:valAx>
        <c:axId val="59278655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285311"/>
        <c:crosses val="max"/>
        <c:crossBetween val="between"/>
      </c:valAx>
      <c:catAx>
        <c:axId val="59285311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9278655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Drinking Demographics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'FCFF model'!$A$10</c:f>
              <c:strCache>
                <c:ptCount val="1"/>
                <c:pt idx="0">
                  <c:v>Drinking age hispanics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model'!$B$10:$P$10</c:f>
              <c:numCache>
                <c:formatCode>_(* #,##0.00_);_(* \(#,##0.00\);_(* "-"??_);_(@_)</c:formatCode>
                <c:ptCount val="15"/>
                <c:pt idx="0">
                  <c:v>37.695999999999998</c:v>
                </c:pt>
                <c:pt idx="1">
                  <c:v>38.4</c:v>
                </c:pt>
                <c:pt idx="2">
                  <c:v>39.167999999999999</c:v>
                </c:pt>
                <c:pt idx="3">
                  <c:v>39.744</c:v>
                </c:pt>
                <c:pt idx="4">
                  <c:v>40</c:v>
                </c:pt>
                <c:pt idx="5">
                  <c:v>40.768000000000001</c:v>
                </c:pt>
                <c:pt idx="6">
                  <c:v>41.728000000000002</c:v>
                </c:pt>
                <c:pt idx="7">
                  <c:v>41.978368000000003</c:v>
                </c:pt>
                <c:pt idx="8">
                  <c:v>42.432000000000002</c:v>
                </c:pt>
                <c:pt idx="9">
                  <c:v>43.136000000000003</c:v>
                </c:pt>
                <c:pt idx="10">
                  <c:v>43.84</c:v>
                </c:pt>
                <c:pt idx="11">
                  <c:v>44.543999999999997</c:v>
                </c:pt>
                <c:pt idx="12">
                  <c:v>45.248000000000005</c:v>
                </c:pt>
                <c:pt idx="13">
                  <c:v>45.951999999999998</c:v>
                </c:pt>
                <c:pt idx="14">
                  <c:v>47.296000000000006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A-7744-8721-B33855B705A1}"/>
            </c:ext>
          </c:extLst>
        </c:ser>
        <c:ser>
          <c:idx val="1"/>
          <c:order val="1"/>
          <c:tx>
            <c:strRef>
              <c:f>'FCFF model'!$A$11</c:f>
              <c:strCache>
                <c:ptCount val="1"/>
                <c:pt idx="0">
                  <c:v>Drinking age Americans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model'!$B$11:$P$11</c:f>
              <c:numCache>
                <c:formatCode>General</c:formatCode>
                <c:ptCount val="15"/>
                <c:pt idx="0">
                  <c:v>245.45050000000001</c:v>
                </c:pt>
                <c:pt idx="1">
                  <c:v>246.73400000000001</c:v>
                </c:pt>
                <c:pt idx="2">
                  <c:v>247.8665</c:v>
                </c:pt>
                <c:pt idx="3">
                  <c:v>250.2825</c:v>
                </c:pt>
                <c:pt idx="4">
                  <c:v>250.66</c:v>
                </c:pt>
                <c:pt idx="5">
                  <c:v>251.64150000000001</c:v>
                </c:pt>
                <c:pt idx="6">
                  <c:v>252.774</c:v>
                </c:pt>
                <c:pt idx="7">
                  <c:v>253.83100000000005</c:v>
                </c:pt>
                <c:pt idx="8">
                  <c:v>254.88800000000001</c:v>
                </c:pt>
                <c:pt idx="9">
                  <c:v>255.86949999999999</c:v>
                </c:pt>
                <c:pt idx="10">
                  <c:v>256.851</c:v>
                </c:pt>
                <c:pt idx="11">
                  <c:v>257.83249999999998</c:v>
                </c:pt>
                <c:pt idx="12">
                  <c:v>258.73849999999999</c:v>
                </c:pt>
                <c:pt idx="13">
                  <c:v>259.64449999999999</c:v>
                </c:pt>
                <c:pt idx="14">
                  <c:v>261.15449999999998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3A-7744-8721-B33855B70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-27"/>
        <c:axId val="1747648783"/>
        <c:axId val="1673311903"/>
      </c:barChart>
      <c:lineChart>
        <c:grouping val="standard"/>
        <c:varyColors val="0"/>
        <c:ser>
          <c:idx val="2"/>
          <c:order val="2"/>
          <c:tx>
            <c:strRef>
              <c:f>'FCFF model'!$A$12</c:f>
              <c:strCache>
                <c:ptCount val="1"/>
                <c:pt idx="0">
                  <c:v>drinking age share hispanics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'FCFF model'!$B$9:$P$9</c:f>
              <c:numCache>
                <c:formatCode>General</c:formatCode>
                <c:ptCount val="15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  <c:pt idx="9">
                  <c:v>2026</c:v>
                </c:pt>
                <c:pt idx="10">
                  <c:v>2027</c:v>
                </c:pt>
                <c:pt idx="11">
                  <c:v>2028</c:v>
                </c:pt>
                <c:pt idx="12">
                  <c:v>2029</c:v>
                </c:pt>
                <c:pt idx="13">
                  <c:v>2030</c:v>
                </c:pt>
                <c:pt idx="14">
                  <c:v>2031</c:v>
                </c:pt>
              </c:numCache>
            </c:numRef>
          </c:cat>
          <c:val>
            <c:numRef>
              <c:f>'FCFF model'!$B$12:$P$12</c:f>
              <c:numCache>
                <c:formatCode>0%</c:formatCode>
                <c:ptCount val="15"/>
                <c:pt idx="0">
                  <c:v>0.15357882750289772</c:v>
                </c:pt>
                <c:pt idx="1">
                  <c:v>0.15563319202055653</c:v>
                </c:pt>
                <c:pt idx="2">
                  <c:v>0.15802054735109422</c:v>
                </c:pt>
                <c:pt idx="3">
                  <c:v>0.15879655988732733</c:v>
                </c:pt>
                <c:pt idx="4">
                  <c:v>0.15957871219979256</c:v>
                </c:pt>
                <c:pt idx="5">
                  <c:v>0.16200825380551301</c:v>
                </c:pt>
                <c:pt idx="6">
                  <c:v>0.16508026933149772</c:v>
                </c:pt>
                <c:pt idx="7">
                  <c:v>0.16537920112200635</c:v>
                </c:pt>
                <c:pt idx="8">
                  <c:v>0.16647311760459496</c:v>
                </c:pt>
                <c:pt idx="9">
                  <c:v>0.16858593931672203</c:v>
                </c:pt>
                <c:pt idx="10">
                  <c:v>0.17068261365538775</c:v>
                </c:pt>
                <c:pt idx="11">
                  <c:v>0.172763325026907</c:v>
                </c:pt>
                <c:pt idx="12">
                  <c:v>0.17487926999654094</c:v>
                </c:pt>
                <c:pt idx="13">
                  <c:v>0.17698044826676473</c:v>
                </c:pt>
                <c:pt idx="14">
                  <c:v>0.18110352301032534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3A-7744-8721-B33855B70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68733744"/>
        <c:axId val="1426093951"/>
      </c:lineChart>
      <c:catAx>
        <c:axId val="1747648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3311903"/>
        <c:crosses val="autoZero"/>
        <c:auto val="1"/>
        <c:lblAlgn val="ctr"/>
        <c:lblOffset val="100"/>
        <c:noMultiLvlLbl val="0"/>
      </c:catAx>
      <c:valAx>
        <c:axId val="1673311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648783"/>
        <c:crosses val="autoZero"/>
        <c:crossBetween val="between"/>
      </c:valAx>
      <c:valAx>
        <c:axId val="1426093951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68733744"/>
        <c:crosses val="max"/>
        <c:crossBetween val="between"/>
      </c:valAx>
      <c:catAx>
        <c:axId val="106873374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426093951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Stz volumes in thouzands</a:t>
            </a:r>
            <a:r>
              <a:rPr lang="en-US" baseline="0"/>
              <a:t> of hectoliters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1"/>
          <c:order val="1"/>
          <c:tx>
            <c:strRef>
              <c:f>'volumes of beer'!$D$79</c:f>
              <c:strCache>
                <c:ptCount val="1"/>
                <c:pt idx="0">
                  <c:v>% change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beer'!$E$79:$M$79</c:f>
              <c:numCache>
                <c:formatCode>0.0%</c:formatCode>
                <c:ptCount val="9"/>
                <c:pt idx="0">
                  <c:v>0.13</c:v>
                </c:pt>
                <c:pt idx="1">
                  <c:v>0.10606685926537346</c:v>
                </c:pt>
                <c:pt idx="2">
                  <c:v>9.7388059701492627E-2</c:v>
                </c:pt>
                <c:pt idx="3">
                  <c:v>5.2023121387283079E-2</c:v>
                </c:pt>
                <c:pt idx="4">
                  <c:v>8.1447963800905132E-2</c:v>
                </c:pt>
                <c:pt idx="5">
                  <c:v>8.8463837417812205E-2</c:v>
                </c:pt>
                <c:pt idx="6">
                  <c:v>6.8643602416254806E-2</c:v>
                </c:pt>
                <c:pt idx="7">
                  <c:v>7.4254881808838727E-2</c:v>
                </c:pt>
                <c:pt idx="8">
                  <c:v>3.2767280554891143E-2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23970703"/>
        <c:axId val="2097803615"/>
      </c:areaChart>
      <c:barChart>
        <c:barDir val="col"/>
        <c:grouping val="clustered"/>
        <c:varyColors val="0"/>
        <c:ser>
          <c:idx val="0"/>
          <c:order val="0"/>
          <c:tx>
            <c:strRef>
              <c:f>'volumes of beer'!$D$78</c:f>
              <c:strCache>
                <c:ptCount val="1"/>
                <c:pt idx="0">
                  <c:v>STZ sales in thznds hectoliters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beer'!$E$78:$M$78</c:f>
              <c:numCache>
                <c:formatCode>_(* #,##0.00_);_(* \(#,##0.00\);_(* "-"??_);_(@_)</c:formatCode>
                <c:ptCount val="9"/>
                <c:pt idx="0">
                  <c:v>20637.132548648493</c:v>
                </c:pt>
                <c:pt idx="1">
                  <c:v>22826.048382326844</c:v>
                </c:pt>
                <c:pt idx="2">
                  <c:v>25049.03294493405</c:v>
                </c:pt>
                <c:pt idx="3">
                  <c:v>26352.161826462408</c:v>
                </c:pt>
                <c:pt idx="4">
                  <c:v>28498.491748979712</c:v>
                </c:pt>
                <c:pt idx="5">
                  <c:v>31019.577689714319</c:v>
                </c:pt>
                <c:pt idx="6">
                  <c:v>33148.873247767195</c:v>
                </c:pt>
                <c:pt idx="7">
                  <c:v>35610.338912876323</c:v>
                </c:pt>
                <c:pt idx="8">
                  <c:v>36777.192878689297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-27"/>
        <c:axId val="2097805279"/>
        <c:axId val="2097804031"/>
      </c:barChart>
      <c:lineChart>
        <c:grouping val="standard"/>
        <c:varyColors val="0"/>
        <c:ser>
          <c:idx val="2"/>
          <c:order val="2"/>
          <c:tx>
            <c:strRef>
              <c:f>'volumes of beer'!$D$80</c:f>
              <c:strCache>
                <c:ptCount val="1"/>
                <c:pt idx="0">
                  <c:v>%share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beer'!$E$80:$M$80</c:f>
              <c:numCache>
                <c:formatCode>0.0%</c:formatCode>
                <c:ptCount val="9"/>
                <c:pt idx="0">
                  <c:v>8.1796006930830334E-2</c:v>
                </c:pt>
                <c:pt idx="1">
                  <c:v>9.1304193529307381E-2</c:v>
                </c:pt>
                <c:pt idx="2">
                  <c:v>0.10116733822671264</c:v>
                </c:pt>
                <c:pt idx="3">
                  <c:v>0.10742829933331598</c:v>
                </c:pt>
                <c:pt idx="4">
                  <c:v>0.11565946326696312</c:v>
                </c:pt>
                <c:pt idx="5">
                  <c:v>0.1283391712441635</c:v>
                </c:pt>
                <c:pt idx="6">
                  <c:v>0.13986866349268859</c:v>
                </c:pt>
                <c:pt idx="7">
                  <c:v>0.15329461434729369</c:v>
                </c:pt>
                <c:pt idx="8">
                  <c:v>0.16130347753811095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DB7-428C-B70C-51BC7EAD6042}"/>
            </c:ext>
          </c:extLst>
        </c:ser>
        <c:ser>
          <c:idx val="3"/>
          <c:order val="3"/>
          <c:tx>
            <c:strRef>
              <c:f>'volumes of beer'!$D$81</c:f>
              <c:strCache>
                <c:ptCount val="1"/>
                <c:pt idx="0">
                  <c:v> chng % share 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'volumes of beer'!$E$77:$M$77</c:f>
              <c:numCache>
                <c:formatCode>General</c:formatCode>
                <c:ptCount val="9"/>
                <c:pt idx="0">
                  <c:v>2017</c:v>
                </c:pt>
                <c:pt idx="1">
                  <c:v>2018</c:v>
                </c:pt>
                <c:pt idx="2">
                  <c:v>2019</c:v>
                </c:pt>
                <c:pt idx="3">
                  <c:v>2020</c:v>
                </c:pt>
                <c:pt idx="4">
                  <c:v>2021</c:v>
                </c:pt>
                <c:pt idx="5">
                  <c:v>2022</c:v>
                </c:pt>
                <c:pt idx="6">
                  <c:v>2023</c:v>
                </c:pt>
                <c:pt idx="7">
                  <c:v>2024</c:v>
                </c:pt>
                <c:pt idx="8">
                  <c:v>2025</c:v>
                </c:pt>
              </c:numCache>
            </c:numRef>
          </c:cat>
          <c:val>
            <c:numRef>
              <c:f>'volumes of beer'!$E$81:$M$81</c:f>
              <c:numCache>
                <c:formatCode>0.00%</c:formatCode>
                <c:ptCount val="9"/>
                <c:pt idx="1">
                  <c:v>0.11624267437061463</c:v>
                </c:pt>
                <c:pt idx="2">
                  <c:v>0.10802510066790448</c:v>
                </c:pt>
                <c:pt idx="3">
                  <c:v>6.1887178375423173E-2</c:v>
                </c:pt>
                <c:pt idx="4">
                  <c:v>7.6620071105365367E-2</c:v>
                </c:pt>
                <c:pt idx="5">
                  <c:v>0.10962966296958596</c:v>
                </c:pt>
                <c:pt idx="6">
                  <c:v>8.983611267514259E-2</c:v>
                </c:pt>
                <c:pt idx="7">
                  <c:v>9.5989698616852234E-2</c:v>
                </c:pt>
                <c:pt idx="8">
                  <c:v>5.2244909091671864E-2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DB7-428C-B70C-51BC7EAD6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3970703"/>
        <c:axId val="2097803615"/>
      </c:lineChart>
      <c:catAx>
        <c:axId val="2097805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7804031"/>
        <c:crosses val="autoZero"/>
        <c:auto val="1"/>
        <c:lblAlgn val="ctr"/>
        <c:lblOffset val="100"/>
        <c:noMultiLvlLbl val="0"/>
      </c:catAx>
      <c:valAx>
        <c:axId val="2097804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0_);_(* \(#,##0.0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7805279"/>
        <c:crosses val="autoZero"/>
        <c:crossBetween val="between"/>
      </c:valAx>
      <c:valAx>
        <c:axId val="2097803615"/>
        <c:scaling>
          <c:orientation val="minMax"/>
        </c:scaling>
        <c:delete val="0"/>
        <c:axPos val="r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3970703"/>
        <c:crosses val="max"/>
        <c:crossBetween val="between"/>
      </c:valAx>
      <c:catAx>
        <c:axId val="1723970703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97803615"/>
        <c:crosses val="autoZero"/>
        <c:auto val="1"/>
        <c:lblAlgn val="ctr"/>
        <c:lblOffset val="100"/>
        <c:noMultiLvlLbl val="0"/>
      </c:cat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PV</a:t>
            </a:r>
            <a:r>
              <a:rPr lang="en-US" baseline="0"/>
              <a:t> FCFF &amp; PV TV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'FCFF model'!$J$109</c:f>
              <c:strCache>
                <c:ptCount val="1"/>
                <c:pt idx="0">
                  <c:v>conservative FCFF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model'!$K$108:$Q$108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model'!$K$109:$Q$109</c:f>
              <c:numCache>
                <c:formatCode>_(* #,##0.00_);_(* \(#,##0.00\);_(* "-"??_);_(@_)</c:formatCode>
                <c:ptCount val="7"/>
                <c:pt idx="0">
                  <c:v>1386.7681956297679</c:v>
                </c:pt>
                <c:pt idx="1">
                  <c:v>1559.3292931156775</c:v>
                </c:pt>
                <c:pt idx="2">
                  <c:v>1575.506449287222</c:v>
                </c:pt>
                <c:pt idx="3">
                  <c:v>1580.2902997766876</c:v>
                </c:pt>
                <c:pt idx="4">
                  <c:v>1574.0808369713222</c:v>
                </c:pt>
                <c:pt idx="5">
                  <c:v>1557.9206303593323</c:v>
                </c:pt>
                <c:pt idx="6">
                  <c:v>31005.675290484745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1A-DA45-8ECB-A5C4C5205B41}"/>
            </c:ext>
          </c:extLst>
        </c:ser>
        <c:ser>
          <c:idx val="1"/>
          <c:order val="1"/>
          <c:tx>
            <c:strRef>
              <c:f>'FCFF model'!$J$113</c:f>
              <c:strCache>
                <c:ptCount val="1"/>
                <c:pt idx="0">
                  <c:v>conservative FCFF tariff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model'!$K$108:$Q$108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model'!$K$113:$Q$113</c:f>
              <c:numCache>
                <c:formatCode>_(* #,##0.00_);_(* \(#,##0.00\);_(* "-"??_);_(@_)</c:formatCode>
                <c:ptCount val="7"/>
                <c:pt idx="0">
                  <c:v>949.05078934516496</c:v>
                </c:pt>
                <c:pt idx="1">
                  <c:v>1136.7149080385211</c:v>
                </c:pt>
                <c:pt idx="2">
                  <c:v>1169.8920295995363</c:v>
                </c:pt>
                <c:pt idx="3">
                  <c:v>1191.0293223151386</c:v>
                </c:pt>
                <c:pt idx="4">
                  <c:v>1201.085907531364</c:v>
                </c:pt>
                <c:pt idx="5">
                  <c:v>1201.2259529938146</c:v>
                </c:pt>
                <c:pt idx="6">
                  <c:v>23906.751809582776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1A-DA45-8ECB-A5C4C5205B41}"/>
            </c:ext>
          </c:extLst>
        </c:ser>
        <c:ser>
          <c:idx val="2"/>
          <c:order val="2"/>
          <c:tx>
            <c:strRef>
              <c:f>'FCFF model'!$J$133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model'!$K$108:$Q$108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model'!$K$133:$Q$133</c:f>
              <c:numCache>
                <c:formatCode>General</c:formatCode>
                <c:ptCount val="7"/>
                <c:pt idx="6" formatCode="_(* #,##0.00_);_(* \(#,##0.00\);_(* &quot;-&quot;??_);_(@_)">
                  <c:v>40105.447140277356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91A-DA45-8ECB-A5C4C5205B41}"/>
            </c:ext>
          </c:extLst>
        </c:ser>
        <c:ser>
          <c:idx val="3"/>
          <c:order val="3"/>
          <c:tx>
            <c:strRef>
              <c:f>'FCFF model'!$J$144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'FCFF model'!$K$108:$Q$108</c:f>
              <c:numCache>
                <c:formatCode>General</c:formatCode>
                <c:ptCount val="7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6</c:v>
                </c:pt>
              </c:numCache>
            </c:numRef>
          </c:cat>
          <c:val>
            <c:numRef>
              <c:f>'FCFF model'!$K$144:$Q$144</c:f>
              <c:numCache>
                <c:formatCode>General</c:formatCode>
                <c:ptCount val="7"/>
                <c:pt idx="6" formatCode="_(* #,##0.00_);_(* \(#,##0.00\);_(* &quot;-&quot;??_);_(@_)">
                  <c:v>52014.446852319634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91A-DA45-8ECB-A5C4C5205B4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2024647423"/>
        <c:axId val="2024232095"/>
      </c:barChart>
      <c:catAx>
        <c:axId val="20246474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24232095"/>
        <c:crosses val="autoZero"/>
        <c:auto val="1"/>
        <c:lblAlgn val="ctr"/>
        <c:lblOffset val="100"/>
        <c:noMultiLvlLbl val="0"/>
      </c:catAx>
      <c:valAx>
        <c:axId val="2024232095"/>
        <c:scaling>
          <c:orientation val="minMax"/>
        </c:scaling>
        <c:delete val="1"/>
        <c:axPos val="l"/>
        <c:numFmt formatCode="_(* #,##0.00_);_(* \(#,##0.00\);_(* &quot;-&quot;??_);_(@_)" sourceLinked="1"/>
        <c:majorTickMark val="none"/>
        <c:minorTickMark val="none"/>
        <c:tickLblPos val="nextTo"/>
        <c:crossAx val="2024647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E36B249-5372-460E-9833-5B5567CA2FF5}">
  <sheetPr/>
  <sheetViews>
    <sheetView zoomScale="131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79CFBD9-9AD2-4C3D-A029-174A419748EF}">
  <sheetPr/>
  <sheetViews>
    <sheetView zoomScale="124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2E9991C-C75D-48AF-AD46-41898F33D311}">
  <sheetPr/>
  <sheetViews>
    <sheetView zoomScale="124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143CA9-92F5-A941-8236-99398CC19D6D}">
  <sheetPr/>
  <sheetViews>
    <sheetView zoomScale="124" workbookViewId="0" zoomToFit="1"/>
    <sheetView zoomScale="110" workbookViewId="1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6D03861-D307-42C6-A06C-99BDB811E411}">
  <sheetPr/>
  <sheetViews>
    <sheetView zoomScale="131" workbookViewId="0" zoomToFit="1"/>
    <sheetView zoomScale="133" workbookViewId="1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AE9EA9-1BDE-A045-922E-3F5B3A7B66F7}">
  <sheetPr/>
  <sheetViews>
    <sheetView zoomScale="124" workbookViewId="0" zoomToFit="1"/>
    <sheetView zoomScale="110" workbookViewId="1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7F81FDF-4272-486C-AEC4-33AE88E2CA3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4CBC6E2-2231-4CA3-89AE-E371BF177A6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01E2A3C-3046-4A5F-848B-0C844CC6C3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59D25A-726F-D6EE-C006-E8EE88D6D7B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6718" cy="629183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A420D7-AE65-43FE-A58B-C192E9CA849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7F71B99-934C-38D2-34A9-A6D09C3B4B4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E8E81-6430-8B4C-ACDC-C793A5A4BEAA}">
  <dimension ref="G9:S34"/>
  <sheetViews>
    <sheetView topLeftCell="D1" workbookViewId="0">
      <selection activeCell="G20" sqref="G20"/>
    </sheetView>
    <sheetView workbookViewId="1">
      <selection activeCell="I17" sqref="I17"/>
    </sheetView>
  </sheetViews>
  <sheetFormatPr baseColWidth="10" defaultColWidth="11" defaultRowHeight="16" x14ac:dyDescent="0.2"/>
  <sheetData>
    <row r="9" spans="7:19" x14ac:dyDescent="0.2">
      <c r="G9" t="s">
        <v>0</v>
      </c>
      <c r="H9" t="s">
        <v>1</v>
      </c>
      <c r="L9" t="s">
        <v>2</v>
      </c>
    </row>
    <row r="10" spans="7:19" x14ac:dyDescent="0.2">
      <c r="G10" t="s">
        <v>3</v>
      </c>
      <c r="H10">
        <v>139</v>
      </c>
      <c r="L10" s="63" t="s">
        <v>129</v>
      </c>
      <c r="M10" s="64"/>
      <c r="N10" s="64"/>
      <c r="O10" s="64"/>
      <c r="P10" s="64"/>
      <c r="Q10" s="64"/>
      <c r="R10" s="64"/>
      <c r="S10" s="64"/>
    </row>
    <row r="11" spans="7:19" x14ac:dyDescent="0.2">
      <c r="G11" t="s">
        <v>4</v>
      </c>
      <c r="H11">
        <v>73.900000000000006</v>
      </c>
      <c r="L11" s="64"/>
      <c r="M11" s="64"/>
      <c r="N11" s="64"/>
      <c r="O11" s="64"/>
      <c r="P11" s="64"/>
      <c r="Q11" s="64"/>
      <c r="R11" s="64"/>
      <c r="S11" s="64"/>
    </row>
    <row r="12" spans="7:19" x14ac:dyDescent="0.2">
      <c r="G12" t="s">
        <v>5</v>
      </c>
      <c r="H12" t="s">
        <v>350</v>
      </c>
      <c r="L12" s="64"/>
      <c r="M12" s="64"/>
      <c r="N12" s="64"/>
      <c r="O12" s="64"/>
      <c r="P12" s="64"/>
      <c r="Q12" s="64"/>
      <c r="R12" s="64"/>
      <c r="S12" s="64"/>
    </row>
    <row r="13" spans="7:19" x14ac:dyDescent="0.2">
      <c r="G13" t="s">
        <v>6</v>
      </c>
      <c r="H13">
        <v>177.99100000000001</v>
      </c>
      <c r="L13" s="64"/>
      <c r="M13" s="64"/>
      <c r="N13" s="64"/>
      <c r="O13" s="64"/>
      <c r="P13" s="64"/>
      <c r="Q13" s="64"/>
      <c r="R13" s="64"/>
      <c r="S13" s="64"/>
    </row>
    <row r="14" spans="7:19" x14ac:dyDescent="0.2">
      <c r="G14" t="s">
        <v>7</v>
      </c>
      <c r="H14">
        <f>H10*H13</f>
        <v>24740.749000000003</v>
      </c>
      <c r="I14" t="s">
        <v>351</v>
      </c>
      <c r="L14" s="64"/>
      <c r="M14" s="64"/>
      <c r="N14" s="64"/>
      <c r="O14" s="64"/>
      <c r="P14" s="64"/>
      <c r="Q14" s="64"/>
      <c r="R14" s="64"/>
      <c r="S14" s="64"/>
    </row>
    <row r="15" spans="7:19" x14ac:dyDescent="0.2">
      <c r="L15" s="64"/>
      <c r="M15" s="64"/>
      <c r="N15" s="64"/>
      <c r="O15" s="64"/>
      <c r="P15" s="64"/>
      <c r="Q15" s="64"/>
      <c r="R15" s="64"/>
      <c r="S15" s="64"/>
    </row>
    <row r="16" spans="7:19" x14ac:dyDescent="0.2">
      <c r="L16" s="64"/>
      <c r="M16" s="64"/>
      <c r="N16" s="64"/>
      <c r="O16" s="64"/>
      <c r="P16" s="64"/>
      <c r="Q16" s="64"/>
      <c r="R16" s="64"/>
      <c r="S16" s="64"/>
    </row>
    <row r="17" spans="12:19" x14ac:dyDescent="0.2">
      <c r="L17" s="64"/>
      <c r="M17" s="64"/>
      <c r="N17" s="64"/>
      <c r="O17" s="64"/>
      <c r="P17" s="64"/>
      <c r="Q17" s="64"/>
      <c r="R17" s="64"/>
      <c r="S17" s="64"/>
    </row>
    <row r="18" spans="12:19" x14ac:dyDescent="0.2">
      <c r="L18" s="64"/>
      <c r="M18" s="64"/>
      <c r="N18" s="64"/>
      <c r="O18" s="64"/>
      <c r="P18" s="64"/>
      <c r="Q18" s="64"/>
      <c r="R18" s="64"/>
      <c r="S18" s="64"/>
    </row>
    <row r="19" spans="12:19" x14ac:dyDescent="0.2">
      <c r="L19" s="64"/>
      <c r="M19" s="64"/>
      <c r="N19" s="64"/>
      <c r="O19" s="64"/>
      <c r="P19" s="64"/>
      <c r="Q19" s="64"/>
      <c r="R19" s="64"/>
      <c r="S19" s="64"/>
    </row>
    <row r="20" spans="12:19" x14ac:dyDescent="0.2">
      <c r="L20" s="64"/>
      <c r="M20" s="64"/>
      <c r="N20" s="64"/>
      <c r="O20" s="64"/>
      <c r="P20" s="64"/>
      <c r="Q20" s="64"/>
      <c r="R20" s="64"/>
      <c r="S20" s="64"/>
    </row>
    <row r="21" spans="12:19" x14ac:dyDescent="0.2">
      <c r="L21" s="64"/>
      <c r="M21" s="64"/>
      <c r="N21" s="64"/>
      <c r="O21" s="64"/>
      <c r="P21" s="64"/>
      <c r="Q21" s="64"/>
      <c r="R21" s="64"/>
      <c r="S21" s="64"/>
    </row>
    <row r="22" spans="12:19" x14ac:dyDescent="0.2">
      <c r="L22" s="64"/>
      <c r="M22" s="64"/>
      <c r="N22" s="64"/>
      <c r="O22" s="64"/>
      <c r="P22" s="64"/>
      <c r="Q22" s="64"/>
      <c r="R22" s="64"/>
      <c r="S22" s="64"/>
    </row>
    <row r="23" spans="12:19" x14ac:dyDescent="0.2">
      <c r="L23" s="64"/>
      <c r="M23" s="64"/>
      <c r="N23" s="64"/>
      <c r="O23" s="64"/>
      <c r="P23" s="64"/>
      <c r="Q23" s="64"/>
      <c r="R23" s="64"/>
      <c r="S23" s="64"/>
    </row>
    <row r="24" spans="12:19" x14ac:dyDescent="0.2">
      <c r="L24" s="64"/>
      <c r="M24" s="64"/>
      <c r="N24" s="64"/>
      <c r="O24" s="64"/>
      <c r="P24" s="64"/>
      <c r="Q24" s="64"/>
      <c r="R24" s="64"/>
      <c r="S24" s="64"/>
    </row>
    <row r="25" spans="12:19" x14ac:dyDescent="0.2">
      <c r="L25" s="64"/>
      <c r="M25" s="64"/>
      <c r="N25" s="64"/>
      <c r="O25" s="64"/>
      <c r="P25" s="64"/>
      <c r="Q25" s="64"/>
      <c r="R25" s="64"/>
      <c r="S25" s="64"/>
    </row>
    <row r="26" spans="12:19" x14ac:dyDescent="0.2">
      <c r="L26" s="64"/>
      <c r="M26" s="64"/>
      <c r="N26" s="64"/>
      <c r="O26" s="64"/>
      <c r="P26" s="64"/>
      <c r="Q26" s="64"/>
      <c r="R26" s="64"/>
      <c r="S26" s="64"/>
    </row>
    <row r="27" spans="12:19" x14ac:dyDescent="0.2">
      <c r="L27" s="64"/>
      <c r="M27" s="64"/>
      <c r="N27" s="64"/>
      <c r="O27" s="64"/>
      <c r="P27" s="64"/>
      <c r="Q27" s="64"/>
      <c r="R27" s="64"/>
      <c r="S27" s="64"/>
    </row>
    <row r="28" spans="12:19" x14ac:dyDescent="0.2">
      <c r="L28" s="64"/>
      <c r="M28" s="64"/>
      <c r="N28" s="64"/>
      <c r="O28" s="64"/>
      <c r="P28" s="64"/>
      <c r="Q28" s="64"/>
      <c r="R28" s="64"/>
      <c r="S28" s="64"/>
    </row>
    <row r="29" spans="12:19" x14ac:dyDescent="0.2">
      <c r="L29" s="64"/>
      <c r="M29" s="64"/>
      <c r="N29" s="64"/>
      <c r="O29" s="64"/>
      <c r="P29" s="64"/>
      <c r="Q29" s="64"/>
      <c r="R29" s="64"/>
      <c r="S29" s="64"/>
    </row>
    <row r="30" spans="12:19" x14ac:dyDescent="0.2">
      <c r="L30" s="64"/>
      <c r="M30" s="64"/>
      <c r="N30" s="64"/>
      <c r="O30" s="64"/>
      <c r="P30" s="64"/>
      <c r="Q30" s="64"/>
      <c r="R30" s="64"/>
      <c r="S30" s="64"/>
    </row>
    <row r="31" spans="12:19" x14ac:dyDescent="0.2">
      <c r="L31" s="64"/>
      <c r="M31" s="64"/>
      <c r="N31" s="64"/>
      <c r="O31" s="64"/>
      <c r="P31" s="64"/>
      <c r="Q31" s="64"/>
      <c r="R31" s="64"/>
      <c r="S31" s="64"/>
    </row>
    <row r="32" spans="12:19" x14ac:dyDescent="0.2">
      <c r="L32" s="64"/>
      <c r="M32" s="64"/>
      <c r="N32" s="64"/>
      <c r="O32" s="64"/>
      <c r="P32" s="64"/>
      <c r="Q32" s="64"/>
      <c r="R32" s="64"/>
      <c r="S32" s="64"/>
    </row>
    <row r="33" spans="12:19" x14ac:dyDescent="0.2">
      <c r="L33" s="64"/>
      <c r="M33" s="64"/>
      <c r="N33" s="64"/>
      <c r="O33" s="64"/>
      <c r="P33" s="64"/>
      <c r="Q33" s="64"/>
      <c r="R33" s="64"/>
      <c r="S33" s="64"/>
    </row>
    <row r="34" spans="12:19" x14ac:dyDescent="0.2">
      <c r="L34" s="64"/>
      <c r="M34" s="64"/>
      <c r="N34" s="64"/>
      <c r="O34" s="64"/>
      <c r="P34" s="64"/>
      <c r="Q34" s="64"/>
      <c r="R34" s="64"/>
      <c r="S34" s="64"/>
    </row>
  </sheetData>
  <mergeCells count="1">
    <mergeCell ref="L10:S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10F37-824B-461A-ACAD-5C0A27E6D4AF}">
  <dimension ref="A1:Q145"/>
  <sheetViews>
    <sheetView tabSelected="1" topLeftCell="A35" zoomScale="85" zoomScaleNormal="100" workbookViewId="0">
      <pane xSplit="8400" ySplit="1220" topLeftCell="F109" activePane="bottomRight"/>
      <selection activeCell="A35" sqref="A35"/>
      <selection pane="topRight" activeCell="B35" sqref="B35"/>
      <selection pane="bottomLeft" activeCell="A97" sqref="A97"/>
      <selection pane="bottomRight" activeCell="L131" sqref="L131"/>
    </sheetView>
    <sheetView topLeftCell="A14" workbookViewId="1">
      <pane xSplit="9740" ySplit="1500" topLeftCell="G106" activePane="bottomRight"/>
      <selection activeCell="B18" sqref="B18"/>
      <selection pane="topRight" activeCell="G17" sqref="G17"/>
      <selection pane="bottomLeft" activeCell="A18" sqref="A18"/>
      <selection pane="bottomRight" activeCell="J107" sqref="J107"/>
    </sheetView>
  </sheetViews>
  <sheetFormatPr baseColWidth="10" defaultColWidth="8.83203125" defaultRowHeight="16" x14ac:dyDescent="0.2"/>
  <cols>
    <col min="1" max="1" width="78.5" customWidth="1"/>
    <col min="2" max="2" width="10.5" bestFit="1" customWidth="1"/>
    <col min="3" max="3" width="11.6640625" customWidth="1"/>
    <col min="4" max="4" width="11" customWidth="1"/>
    <col min="5" max="5" width="10.83203125" customWidth="1"/>
    <col min="6" max="6" width="11" customWidth="1"/>
    <col min="7" max="7" width="11.1640625" customWidth="1"/>
    <col min="8" max="8" width="14.5" customWidth="1"/>
    <col min="9" max="9" width="13.5" customWidth="1"/>
    <col min="10" max="10" width="11.33203125" customWidth="1"/>
    <col min="11" max="11" width="13.5" customWidth="1"/>
    <col min="12" max="12" width="12.83203125" customWidth="1"/>
    <col min="13" max="13" width="11.33203125" customWidth="1"/>
    <col min="14" max="14" width="14.1640625" customWidth="1"/>
    <col min="15" max="16" width="11.1640625" customWidth="1"/>
    <col min="17" max="17" width="12.5" customWidth="1"/>
  </cols>
  <sheetData>
    <row r="1" spans="1:16" x14ac:dyDescent="0.2">
      <c r="B1">
        <v>2017</v>
      </c>
      <c r="C1">
        <v>2018</v>
      </c>
      <c r="D1">
        <v>2019</v>
      </c>
      <c r="E1">
        <v>2020</v>
      </c>
      <c r="F1">
        <v>2021</v>
      </c>
      <c r="G1">
        <v>2022</v>
      </c>
      <c r="H1">
        <v>2023</v>
      </c>
      <c r="I1">
        <v>2024</v>
      </c>
      <c r="J1">
        <v>2025</v>
      </c>
      <c r="K1">
        <v>2026</v>
      </c>
      <c r="L1">
        <v>2027</v>
      </c>
      <c r="M1">
        <v>2028</v>
      </c>
      <c r="N1">
        <v>2029</v>
      </c>
      <c r="O1">
        <v>2030</v>
      </c>
      <c r="P1">
        <v>2031</v>
      </c>
    </row>
    <row r="3" spans="1:16" x14ac:dyDescent="0.2">
      <c r="A3" t="s">
        <v>324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16" x14ac:dyDescent="0.2">
      <c r="A4" t="s">
        <v>319</v>
      </c>
      <c r="B4">
        <v>325.10000000000002</v>
      </c>
      <c r="C4">
        <v>326.8</v>
      </c>
      <c r="D4">
        <v>328.3</v>
      </c>
      <c r="E4">
        <v>331.5</v>
      </c>
      <c r="F4">
        <v>332</v>
      </c>
      <c r="G4">
        <v>333.3</v>
      </c>
      <c r="H4">
        <v>334.8</v>
      </c>
      <c r="I4">
        <f>AVERAGE(H4,J4)</f>
        <v>336.20000000000005</v>
      </c>
      <c r="J4">
        <v>337.6</v>
      </c>
      <c r="K4">
        <v>338.9</v>
      </c>
      <c r="L4">
        <v>340.2</v>
      </c>
      <c r="M4">
        <v>341.5</v>
      </c>
      <c r="N4">
        <v>342.7</v>
      </c>
      <c r="O4">
        <v>343.9</v>
      </c>
      <c r="P4">
        <v>345.9</v>
      </c>
    </row>
    <row r="5" spans="1:16" x14ac:dyDescent="0.2">
      <c r="A5" t="s">
        <v>315</v>
      </c>
      <c r="C5" s="20">
        <f>(C4-B4)/B4</f>
        <v>5.2291602583820007E-3</v>
      </c>
      <c r="D5" s="20">
        <f t="shared" ref="D5" si="0">(D4-C4)/C4</f>
        <v>4.5899632802937577E-3</v>
      </c>
      <c r="E5" s="20">
        <f t="shared" ref="E5" si="1">(E4-D4)/D4</f>
        <v>9.7471824550715465E-3</v>
      </c>
      <c r="F5" s="20">
        <f t="shared" ref="F5" si="2">(F4-E4)/E4</f>
        <v>1.5082956259426848E-3</v>
      </c>
      <c r="G5" s="20">
        <f t="shared" ref="G5" si="3">(G4-F4)/F4</f>
        <v>3.9156626506024438E-3</v>
      </c>
      <c r="H5" s="20">
        <f t="shared" ref="H5" si="4">(H4-G4)/G4</f>
        <v>4.5004500450045006E-3</v>
      </c>
      <c r="I5" s="25">
        <f t="shared" ref="I5" si="5">(I4-H4)/H4</f>
        <v>4.1816009557946055E-3</v>
      </c>
      <c r="J5" s="25">
        <f t="shared" ref="J5" si="6">(J4-I4)/I4</f>
        <v>4.1641879833431801E-3</v>
      </c>
      <c r="K5" s="25">
        <f t="shared" ref="K5" si="7">(K4-J4)/J4</f>
        <v>3.8507109004737986E-3</v>
      </c>
      <c r="L5" s="25">
        <f t="shared" ref="L5" si="8">(L4-K4)/K4</f>
        <v>3.8359398052523206E-3</v>
      </c>
      <c r="M5" s="25">
        <f t="shared" ref="M5" si="9">(M4-L4)/L4</f>
        <v>3.8212815990594103E-3</v>
      </c>
      <c r="N5" s="25">
        <f t="shared" ref="N5" si="10">(N4-M4)/M4</f>
        <v>3.5139092240116798E-3</v>
      </c>
      <c r="O5" s="25">
        <f t="shared" ref="O5" si="11">(O4-N4)/N4</f>
        <v>3.5016049022468299E-3</v>
      </c>
      <c r="P5" s="25">
        <f t="shared" ref="P5" si="12">(P4-O4)/O4</f>
        <v>5.815644082582146E-3</v>
      </c>
    </row>
    <row r="6" spans="1:16" x14ac:dyDescent="0.2">
      <c r="A6" t="s">
        <v>318</v>
      </c>
      <c r="B6">
        <v>58.9</v>
      </c>
      <c r="C6">
        <v>60</v>
      </c>
      <c r="D6">
        <v>61.2</v>
      </c>
      <c r="E6">
        <v>62.1</v>
      </c>
      <c r="F6">
        <v>62.5</v>
      </c>
      <c r="G6">
        <v>63.7</v>
      </c>
      <c r="H6">
        <v>65.2</v>
      </c>
      <c r="I6" s="55">
        <f>H6*(1+I7)</f>
        <v>65.591200000000001</v>
      </c>
      <c r="J6" s="55">
        <v>66.3</v>
      </c>
      <c r="K6">
        <v>67.400000000000006</v>
      </c>
      <c r="L6">
        <v>68.5</v>
      </c>
      <c r="M6">
        <v>69.599999999999994</v>
      </c>
      <c r="N6">
        <v>70.7</v>
      </c>
      <c r="O6">
        <v>71.8</v>
      </c>
      <c r="P6">
        <v>73.900000000000006</v>
      </c>
    </row>
    <row r="7" spans="1:16" x14ac:dyDescent="0.2">
      <c r="A7" t="s">
        <v>75</v>
      </c>
      <c r="C7" s="20">
        <f>(C6-B6)/B6</f>
        <v>1.8675721561969463E-2</v>
      </c>
      <c r="D7" s="20">
        <f t="shared" ref="D7" si="13">(D6-C6)/C6</f>
        <v>2.0000000000000049E-2</v>
      </c>
      <c r="E7" s="20">
        <f t="shared" ref="E7" si="14">(E6-D6)/D6</f>
        <v>1.4705882352941152E-2</v>
      </c>
      <c r="F7" s="20">
        <f t="shared" ref="F7" si="15">(F6-E6)/E6</f>
        <v>6.4412238325281569E-3</v>
      </c>
      <c r="G7" s="20">
        <f t="shared" ref="G7" si="16">(G6-F6)/F6</f>
        <v>1.9200000000000047E-2</v>
      </c>
      <c r="H7" s="20">
        <f t="shared" ref="H7" si="17">(H6-G6)/G6</f>
        <v>2.3547880690737832E-2</v>
      </c>
      <c r="I7" s="25">
        <v>6.0000000000000001E-3</v>
      </c>
      <c r="J7" s="25">
        <v>6.0000000000000001E-3</v>
      </c>
      <c r="K7" s="25">
        <v>6.0000000000000001E-3</v>
      </c>
      <c r="L7" s="25">
        <v>6.0000000000000001E-3</v>
      </c>
      <c r="M7" s="25">
        <v>6.0000000000000001E-3</v>
      </c>
      <c r="N7" s="25">
        <v>6.0000000000000001E-3</v>
      </c>
      <c r="O7" s="25">
        <v>6.0000000000000001E-3</v>
      </c>
      <c r="P7" s="25">
        <v>6.0000000000000001E-3</v>
      </c>
    </row>
    <row r="8" spans="1:16" x14ac:dyDescent="0.2">
      <c r="A8" t="s">
        <v>320</v>
      </c>
      <c r="B8" s="20">
        <f>B6/B4</f>
        <v>0.18117502306982466</v>
      </c>
      <c r="C8" s="20">
        <f t="shared" ref="C8:P8" si="18">C6/C4</f>
        <v>0.18359853121175029</v>
      </c>
      <c r="D8" s="20">
        <f t="shared" si="18"/>
        <v>0.18641486445324398</v>
      </c>
      <c r="E8" s="20">
        <f t="shared" si="18"/>
        <v>0.18733031674208145</v>
      </c>
      <c r="F8" s="20">
        <f t="shared" si="18"/>
        <v>0.18825301204819278</v>
      </c>
      <c r="G8" s="20">
        <f t="shared" si="18"/>
        <v>0.19111911191119113</v>
      </c>
      <c r="H8" s="20">
        <f t="shared" si="18"/>
        <v>0.19474313022700121</v>
      </c>
      <c r="I8" s="20">
        <f t="shared" si="18"/>
        <v>0.19509577632361688</v>
      </c>
      <c r="J8" s="20">
        <f t="shared" si="18"/>
        <v>0.19638625592417058</v>
      </c>
      <c r="K8" s="20">
        <f t="shared" si="18"/>
        <v>0.19887872528769551</v>
      </c>
      <c r="L8" s="20">
        <f t="shared" si="18"/>
        <v>0.20135214579659025</v>
      </c>
      <c r="M8" s="20">
        <f t="shared" si="18"/>
        <v>0.20380673499267934</v>
      </c>
      <c r="N8" s="20">
        <f t="shared" si="18"/>
        <v>0.20630288882404438</v>
      </c>
      <c r="O8" s="20">
        <f t="shared" si="18"/>
        <v>0.20878162256469904</v>
      </c>
      <c r="P8" s="20">
        <f t="shared" si="18"/>
        <v>0.21364556230124315</v>
      </c>
    </row>
    <row r="9" spans="1:16" x14ac:dyDescent="0.2">
      <c r="B9">
        <v>2017</v>
      </c>
      <c r="C9">
        <v>2018</v>
      </c>
      <c r="D9">
        <v>2019</v>
      </c>
      <c r="E9">
        <v>2020</v>
      </c>
      <c r="F9">
        <v>2021</v>
      </c>
      <c r="G9">
        <v>2022</v>
      </c>
      <c r="H9">
        <v>2023</v>
      </c>
      <c r="I9">
        <v>2024</v>
      </c>
      <c r="J9">
        <v>2025</v>
      </c>
      <c r="K9">
        <v>2026</v>
      </c>
      <c r="L9">
        <v>2027</v>
      </c>
      <c r="M9">
        <v>2028</v>
      </c>
      <c r="N9">
        <v>2029</v>
      </c>
      <c r="O9">
        <v>2030</v>
      </c>
      <c r="P9">
        <v>2031</v>
      </c>
    </row>
    <row r="10" spans="1:16" x14ac:dyDescent="0.2">
      <c r="A10" t="s">
        <v>322</v>
      </c>
      <c r="B10" s="11">
        <f>B6*0.64</f>
        <v>37.695999999999998</v>
      </c>
      <c r="C10" s="11">
        <f t="shared" ref="C10:P10" si="19">C6*0.64</f>
        <v>38.4</v>
      </c>
      <c r="D10" s="11">
        <f t="shared" si="19"/>
        <v>39.167999999999999</v>
      </c>
      <c r="E10" s="11">
        <f t="shared" si="19"/>
        <v>39.744</v>
      </c>
      <c r="F10" s="11">
        <f t="shared" si="19"/>
        <v>40</v>
      </c>
      <c r="G10" s="11">
        <f t="shared" si="19"/>
        <v>40.768000000000001</v>
      </c>
      <c r="H10" s="11">
        <f t="shared" si="19"/>
        <v>41.728000000000002</v>
      </c>
      <c r="I10" s="11">
        <f t="shared" si="19"/>
        <v>41.978368000000003</v>
      </c>
      <c r="J10" s="11">
        <f t="shared" si="19"/>
        <v>42.432000000000002</v>
      </c>
      <c r="K10" s="11">
        <f t="shared" si="19"/>
        <v>43.136000000000003</v>
      </c>
      <c r="L10" s="11">
        <f t="shared" si="19"/>
        <v>43.84</v>
      </c>
      <c r="M10" s="11">
        <f t="shared" si="19"/>
        <v>44.543999999999997</v>
      </c>
      <c r="N10" s="11">
        <f t="shared" si="19"/>
        <v>45.248000000000005</v>
      </c>
      <c r="O10" s="11">
        <f t="shared" si="19"/>
        <v>45.951999999999998</v>
      </c>
      <c r="P10" s="11">
        <f t="shared" si="19"/>
        <v>47.296000000000006</v>
      </c>
    </row>
    <row r="11" spans="1:16" x14ac:dyDescent="0.2">
      <c r="A11" t="s">
        <v>321</v>
      </c>
      <c r="B11">
        <f>0.755*B4</f>
        <v>245.45050000000001</v>
      </c>
      <c r="C11">
        <f t="shared" ref="C11:P11" si="20">0.755*C4</f>
        <v>246.73400000000001</v>
      </c>
      <c r="D11">
        <f t="shared" si="20"/>
        <v>247.8665</v>
      </c>
      <c r="E11">
        <f t="shared" si="20"/>
        <v>250.2825</v>
      </c>
      <c r="F11">
        <f t="shared" si="20"/>
        <v>250.66</v>
      </c>
      <c r="G11">
        <f t="shared" si="20"/>
        <v>251.64150000000001</v>
      </c>
      <c r="H11">
        <f t="shared" si="20"/>
        <v>252.774</v>
      </c>
      <c r="I11">
        <f t="shared" si="20"/>
        <v>253.83100000000005</v>
      </c>
      <c r="J11">
        <f t="shared" si="20"/>
        <v>254.88800000000001</v>
      </c>
      <c r="K11">
        <f t="shared" si="20"/>
        <v>255.86949999999999</v>
      </c>
      <c r="L11">
        <f t="shared" si="20"/>
        <v>256.851</v>
      </c>
      <c r="M11">
        <f t="shared" si="20"/>
        <v>257.83249999999998</v>
      </c>
      <c r="N11">
        <f t="shared" si="20"/>
        <v>258.73849999999999</v>
      </c>
      <c r="O11">
        <f t="shared" si="20"/>
        <v>259.64449999999999</v>
      </c>
      <c r="P11">
        <f t="shared" si="20"/>
        <v>261.15449999999998</v>
      </c>
    </row>
    <row r="12" spans="1:16" x14ac:dyDescent="0.2">
      <c r="A12" t="s">
        <v>323</v>
      </c>
      <c r="B12" s="17">
        <f>B10/B11</f>
        <v>0.15357882750289772</v>
      </c>
      <c r="C12" s="17">
        <f t="shared" ref="C12" si="21">C10/C11</f>
        <v>0.15563319202055653</v>
      </c>
      <c r="D12" s="17">
        <f t="shared" ref="D12" si="22">D10/D11</f>
        <v>0.15802054735109422</v>
      </c>
      <c r="E12" s="17">
        <f t="shared" ref="E12" si="23">E10/E11</f>
        <v>0.15879655988732733</v>
      </c>
      <c r="F12" s="17">
        <f t="shared" ref="F12" si="24">F10/F11</f>
        <v>0.15957871219979256</v>
      </c>
      <c r="G12" s="17">
        <f t="shared" ref="G12" si="25">G10/G11</f>
        <v>0.16200825380551301</v>
      </c>
      <c r="H12" s="17">
        <f t="shared" ref="H12" si="26">H10/H11</f>
        <v>0.16508026933149772</v>
      </c>
      <c r="I12" s="17">
        <f t="shared" ref="I12" si="27">I10/I11</f>
        <v>0.16537920112200635</v>
      </c>
      <c r="J12" s="17">
        <f t="shared" ref="J12" si="28">J10/J11</f>
        <v>0.16647311760459496</v>
      </c>
      <c r="K12" s="17">
        <f t="shared" ref="K12" si="29">K10/K11</f>
        <v>0.16858593931672203</v>
      </c>
      <c r="L12" s="17">
        <f t="shared" ref="L12" si="30">L10/L11</f>
        <v>0.17068261365538775</v>
      </c>
      <c r="M12" s="17">
        <f t="shared" ref="M12" si="31">M10/M11</f>
        <v>0.172763325026907</v>
      </c>
      <c r="N12" s="17">
        <f t="shared" ref="N12" si="32">N10/N11</f>
        <v>0.17487926999654094</v>
      </c>
      <c r="O12" s="17">
        <f t="shared" ref="O12" si="33">O10/O11</f>
        <v>0.17698044826676473</v>
      </c>
      <c r="P12" s="17">
        <f t="shared" ref="P12" si="34">P10/P11</f>
        <v>0.18110352301032534</v>
      </c>
    </row>
    <row r="17" spans="1:17" s="24" customFormat="1" thickBot="1" x14ac:dyDescent="0.25">
      <c r="A17" s="24" t="s">
        <v>127</v>
      </c>
      <c r="B17" s="24">
        <v>2017</v>
      </c>
      <c r="C17" s="24">
        <v>2018</v>
      </c>
      <c r="D17" s="24">
        <v>2019</v>
      </c>
      <c r="E17" s="24">
        <v>2020</v>
      </c>
      <c r="F17" s="24">
        <v>2021</v>
      </c>
      <c r="G17" s="24">
        <v>2022</v>
      </c>
      <c r="H17" s="24">
        <v>2023</v>
      </c>
      <c r="I17" s="24">
        <v>2024</v>
      </c>
      <c r="J17" s="24">
        <v>2025</v>
      </c>
      <c r="K17" s="24">
        <v>2026</v>
      </c>
      <c r="L17" s="24">
        <v>2027</v>
      </c>
      <c r="M17" s="24">
        <v>2028</v>
      </c>
      <c r="N17" s="24">
        <v>2029</v>
      </c>
      <c r="O17" s="24">
        <v>2030</v>
      </c>
      <c r="P17" s="24">
        <v>2031</v>
      </c>
      <c r="Q17" s="24" t="s">
        <v>339</v>
      </c>
    </row>
    <row r="18" spans="1:17" x14ac:dyDescent="0.2">
      <c r="A18" t="s">
        <v>313</v>
      </c>
      <c r="B18">
        <v>252300</v>
      </c>
      <c r="C18">
        <v>250000</v>
      </c>
      <c r="D18">
        <v>247600</v>
      </c>
      <c r="E18">
        <v>245300</v>
      </c>
      <c r="F18">
        <v>246400</v>
      </c>
      <c r="G18">
        <v>241700</v>
      </c>
      <c r="H18">
        <v>237000</v>
      </c>
      <c r="I18">
        <v>232300</v>
      </c>
      <c r="J18">
        <v>228000</v>
      </c>
      <c r="K18" s="56">
        <f>J18*(1+0.95*(0.5*J19+I19*0.25+H19*0.25))</f>
        <v>223868.46813269291</v>
      </c>
      <c r="L18" s="56">
        <f t="shared" ref="L18:P18" si="35">K18*(1+0.95*(0.5*K19+J19*0.25+I19*0.25))</f>
        <v>219902.96763958078</v>
      </c>
      <c r="M18" s="56">
        <f t="shared" si="35"/>
        <v>216139.57905665357</v>
      </c>
      <c r="N18" s="56">
        <f t="shared" si="35"/>
        <v>212543.07578946659</v>
      </c>
      <c r="O18" s="56">
        <f t="shared" si="35"/>
        <v>209105.11196923646</v>
      </c>
      <c r="P18" s="56">
        <f t="shared" si="35"/>
        <v>205822.20784766114</v>
      </c>
    </row>
    <row r="19" spans="1:17" x14ac:dyDescent="0.2">
      <c r="A19" t="s">
        <v>75</v>
      </c>
      <c r="C19" s="25">
        <f>(C18-B18)/B18</f>
        <v>-9.116131589377725E-3</v>
      </c>
      <c r="D19" s="25">
        <f t="shared" ref="D19:J19" si="36">(D18-C18)/C18</f>
        <v>-9.5999999999999992E-3</v>
      </c>
      <c r="E19" s="25">
        <f t="shared" si="36"/>
        <v>-9.289176090468497E-3</v>
      </c>
      <c r="F19" s="25">
        <f t="shared" si="36"/>
        <v>4.4843049327354259E-3</v>
      </c>
      <c r="G19" s="25">
        <f t="shared" si="36"/>
        <v>-1.9074675324675324E-2</v>
      </c>
      <c r="H19" s="25">
        <f t="shared" si="36"/>
        <v>-1.9445593711212246E-2</v>
      </c>
      <c r="I19" s="25">
        <f t="shared" si="36"/>
        <v>-1.9831223628691982E-2</v>
      </c>
      <c r="J19" s="25">
        <f t="shared" si="36"/>
        <v>-1.8510546706844596E-2</v>
      </c>
      <c r="K19" s="25">
        <f t="shared" ref="K19" si="37">(K18-J18)/J18</f>
        <v>-1.8120753803978453E-2</v>
      </c>
      <c r="L19" s="25">
        <f>(L18-K18)/K18</f>
        <v>-1.771352851157974E-2</v>
      </c>
      <c r="M19" s="25">
        <f>(M18-L18)/L18</f>
        <v>-1.7113859914320791E-2</v>
      </c>
      <c r="N19" s="25">
        <f t="shared" ref="N19" si="38">(N18-M18)/M18</f>
        <v>-1.6639725509247361E-2</v>
      </c>
      <c r="O19" s="25">
        <f t="shared" ref="O19" si="39">(O18-N18)/N18</f>
        <v>-1.61753743680438E-2</v>
      </c>
      <c r="P19" s="25">
        <f t="shared" ref="P19" si="40">(P18-O18)/O18</f>
        <v>-1.5699779362918227E-2</v>
      </c>
    </row>
    <row r="20" spans="1:17" x14ac:dyDescent="0.2"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</row>
    <row r="21" spans="1:17" x14ac:dyDescent="0.2">
      <c r="A21" t="s">
        <v>314</v>
      </c>
      <c r="B21" s="11">
        <v>242.3</v>
      </c>
      <c r="C21" s="11">
        <v>268</v>
      </c>
      <c r="D21" s="11">
        <v>294.10000000000002</v>
      </c>
      <c r="E21" s="11">
        <v>309.39999999999998</v>
      </c>
      <c r="F21" s="11">
        <v>334.6</v>
      </c>
      <c r="G21" s="11">
        <v>364.2</v>
      </c>
      <c r="H21" s="11">
        <v>389.2</v>
      </c>
      <c r="I21" s="11">
        <v>418.1</v>
      </c>
      <c r="J21" s="11">
        <v>431.8</v>
      </c>
      <c r="K21" s="18">
        <f>((K22*3381.4)/288)/1000</f>
        <v>448.20688972880504</v>
      </c>
      <c r="L21" s="18">
        <f t="shared" ref="L21:P21" si="41">((L22*3381.4)/288)/1000</f>
        <v>463.43050799507893</v>
      </c>
      <c r="M21" s="18">
        <f t="shared" si="41"/>
        <v>475.58110849286129</v>
      </c>
      <c r="N21" s="18">
        <f t="shared" si="41"/>
        <v>486.76744724300329</v>
      </c>
      <c r="O21" s="18">
        <f t="shared" si="41"/>
        <v>496.67679943650239</v>
      </c>
      <c r="P21" s="18">
        <f t="shared" si="41"/>
        <v>505.22007390418929</v>
      </c>
    </row>
    <row r="22" spans="1:17" x14ac:dyDescent="0.2">
      <c r="A22" t="s">
        <v>312</v>
      </c>
      <c r="B22" s="11">
        <f t="shared" ref="B22:J22" si="42">((B21*288)/3381.4)*1000</f>
        <v>20637.132548648493</v>
      </c>
      <c r="C22" s="11">
        <f t="shared" si="42"/>
        <v>22826.048382326844</v>
      </c>
      <c r="D22" s="11">
        <f t="shared" si="42"/>
        <v>25049.03294493405</v>
      </c>
      <c r="E22" s="11">
        <f t="shared" si="42"/>
        <v>26352.161826462408</v>
      </c>
      <c r="F22" s="11">
        <f t="shared" si="42"/>
        <v>28498.491748979712</v>
      </c>
      <c r="G22" s="11">
        <f t="shared" si="42"/>
        <v>31019.577689714319</v>
      </c>
      <c r="H22" s="11">
        <f t="shared" si="42"/>
        <v>33148.873247767195</v>
      </c>
      <c r="I22" s="11">
        <f t="shared" si="42"/>
        <v>35610.338912876323</v>
      </c>
      <c r="J22" s="11">
        <f t="shared" si="42"/>
        <v>36777.192878689297</v>
      </c>
      <c r="K22" s="11">
        <f>K18*K23</f>
        <v>38174.597575529617</v>
      </c>
      <c r="L22" s="11">
        <f t="shared" ref="L22:P22" si="43">L18*L23</f>
        <v>39471.220885604402</v>
      </c>
      <c r="M22" s="11">
        <f t="shared" si="43"/>
        <v>40506.109672308528</v>
      </c>
      <c r="N22" s="11">
        <f t="shared" si="43"/>
        <v>41458.870528770611</v>
      </c>
      <c r="O22" s="11">
        <f t="shared" si="43"/>
        <v>42302.868113122575</v>
      </c>
      <c r="P22" s="11">
        <f t="shared" si="43"/>
        <v>43030.514368133467</v>
      </c>
    </row>
    <row r="23" spans="1:17" x14ac:dyDescent="0.2">
      <c r="A23" t="s">
        <v>316</v>
      </c>
      <c r="B23" s="20">
        <f>B22/B18</f>
        <v>8.1796006930830334E-2</v>
      </c>
      <c r="C23" s="20">
        <f t="shared" ref="C23:I23" si="44">C22/C18</f>
        <v>9.1304193529307381E-2</v>
      </c>
      <c r="D23" s="20">
        <f t="shared" si="44"/>
        <v>0.10116733822671264</v>
      </c>
      <c r="E23" s="20">
        <f t="shared" si="44"/>
        <v>0.10742829933331598</v>
      </c>
      <c r="F23" s="20">
        <f t="shared" si="44"/>
        <v>0.11565946326696312</v>
      </c>
      <c r="G23" s="20">
        <f t="shared" si="44"/>
        <v>0.1283391712441635</v>
      </c>
      <c r="H23" s="20">
        <f t="shared" si="44"/>
        <v>0.13986866349268859</v>
      </c>
      <c r="I23" s="20">
        <f t="shared" si="44"/>
        <v>0.15329461434729369</v>
      </c>
      <c r="J23" s="20">
        <f>J22/J18</f>
        <v>0.16130347753811095</v>
      </c>
      <c r="K23" s="21">
        <f>J23+K24</f>
        <v>0.170522440672183</v>
      </c>
      <c r="L23" s="21">
        <f t="shared" ref="L23:P23" si="45">K23+L24</f>
        <v>0.17949380724273545</v>
      </c>
      <c r="M23" s="21">
        <f t="shared" si="45"/>
        <v>0.18740718312258414</v>
      </c>
      <c r="N23" s="21">
        <f t="shared" si="45"/>
        <v>0.19506102645205659</v>
      </c>
      <c r="O23" s="21">
        <f t="shared" si="45"/>
        <v>0.20230432300165943</v>
      </c>
      <c r="P23" s="21">
        <f t="shared" si="45"/>
        <v>0.20906643077107798</v>
      </c>
    </row>
    <row r="24" spans="1:17" x14ac:dyDescent="0.2">
      <c r="A24" t="s">
        <v>317</v>
      </c>
      <c r="B24" s="20"/>
      <c r="C24" s="25">
        <f>C23-B23</f>
        <v>9.5081865984770475E-3</v>
      </c>
      <c r="D24" s="25">
        <f t="shared" ref="D24:J24" si="46">D23-C23</f>
        <v>9.8631446974052628E-3</v>
      </c>
      <c r="E24" s="25">
        <f t="shared" si="46"/>
        <v>6.2609611066033327E-3</v>
      </c>
      <c r="F24" s="25">
        <f t="shared" si="46"/>
        <v>8.2311639336471454E-3</v>
      </c>
      <c r="G24" s="25">
        <f t="shared" si="46"/>
        <v>1.2679707977200375E-2</v>
      </c>
      <c r="H24" s="25">
        <f t="shared" si="46"/>
        <v>1.1529492248525092E-2</v>
      </c>
      <c r="I24" s="25">
        <f t="shared" si="46"/>
        <v>1.3425950854605101E-2</v>
      </c>
      <c r="J24" s="25">
        <f t="shared" si="46"/>
        <v>8.0088631908172558E-3</v>
      </c>
      <c r="K24" s="46">
        <f>0.9*(0.5*J24+0.25*I24+0.25*H24)</f>
        <v>9.2189631340720592E-3</v>
      </c>
      <c r="L24" s="46">
        <f t="shared" ref="L24:P24" si="47">0.9*(0.5*K24+0.25*J24+0.25*I24)</f>
        <v>8.9713665705524574E-3</v>
      </c>
      <c r="M24" s="46">
        <f t="shared" si="47"/>
        <v>7.9133758798487028E-3</v>
      </c>
      <c r="N24" s="46">
        <f t="shared" si="47"/>
        <v>7.6538433294724316E-3</v>
      </c>
      <c r="O24" s="46">
        <f t="shared" si="47"/>
        <v>7.243296549602856E-3</v>
      </c>
      <c r="P24" s="46">
        <f t="shared" si="47"/>
        <v>6.7621077694185409E-3</v>
      </c>
    </row>
    <row r="25" spans="1:17" x14ac:dyDescent="0.2">
      <c r="A25" t="s">
        <v>315</v>
      </c>
      <c r="B25" s="20">
        <v>0.13</v>
      </c>
      <c r="C25" s="20">
        <f>(C21-B21)/B21</f>
        <v>0.10606685926537346</v>
      </c>
      <c r="D25" s="20">
        <f t="shared" ref="D25:J25" si="48">(D21-C21)/C21</f>
        <v>9.7388059701492627E-2</v>
      </c>
      <c r="E25" s="20">
        <f t="shared" si="48"/>
        <v>5.2023121387283079E-2</v>
      </c>
      <c r="F25" s="20">
        <f t="shared" si="48"/>
        <v>8.1447963800905132E-2</v>
      </c>
      <c r="G25" s="20">
        <f t="shared" si="48"/>
        <v>8.8463837417812205E-2</v>
      </c>
      <c r="H25" s="20">
        <f t="shared" si="48"/>
        <v>6.8643602416254806E-2</v>
      </c>
      <c r="I25" s="20">
        <f t="shared" si="48"/>
        <v>7.4254881808838727E-2</v>
      </c>
      <c r="J25" s="20">
        <f t="shared" si="48"/>
        <v>3.2767280554891143E-2</v>
      </c>
      <c r="K25" s="20">
        <f>(K21-J21)/J21</f>
        <v>3.7996502382596171E-2</v>
      </c>
      <c r="L25" s="20">
        <f t="shared" ref="L25" si="49">(L21-K21)/K21</f>
        <v>3.3965605204072588E-2</v>
      </c>
      <c r="M25" s="20">
        <f t="shared" ref="M25" si="50">(M21-L21)/L21</f>
        <v>2.6218818761736307E-2</v>
      </c>
      <c r="N25" s="20">
        <f t="shared" ref="N25" si="51">(N21-M21)/M21</f>
        <v>2.3521411070326213E-2</v>
      </c>
      <c r="O25" s="20">
        <f t="shared" ref="O25" si="52">(O21-N21)/N21</f>
        <v>2.0357466896409306E-2</v>
      </c>
      <c r="P25" s="20">
        <f t="shared" ref="P25" si="53">(P21-O21)/O21</f>
        <v>1.7200872835976131E-2</v>
      </c>
    </row>
    <row r="26" spans="1:17" x14ac:dyDescent="0.2"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</row>
    <row r="27" spans="1:17" x14ac:dyDescent="0.2">
      <c r="A27" s="15" t="s">
        <v>325</v>
      </c>
      <c r="B27" s="7">
        <f t="shared" ref="B27:J27" si="54">B38/B21</f>
        <v>17.446553858852663</v>
      </c>
      <c r="C27" s="7">
        <f t="shared" si="54"/>
        <v>17.389552238805969</v>
      </c>
      <c r="D27" s="7">
        <f t="shared" si="54"/>
        <v>17.688201292077526</v>
      </c>
      <c r="E27" s="7">
        <f t="shared" si="54"/>
        <v>18.150937297996123</v>
      </c>
      <c r="F27" s="7">
        <f t="shared" si="54"/>
        <v>18.15481171548117</v>
      </c>
      <c r="G27" s="7">
        <f t="shared" si="54"/>
        <v>18.538165842943439</v>
      </c>
      <c r="H27" s="7">
        <f t="shared" si="54"/>
        <v>19.180369989722507</v>
      </c>
      <c r="I27" s="7">
        <f t="shared" si="54"/>
        <v>19.523080602726619</v>
      </c>
      <c r="J27" s="7">
        <f t="shared" si="54"/>
        <v>19.777211672070401</v>
      </c>
      <c r="K27" s="7">
        <f>J27*(1+K28)</f>
        <v>19.935429365446964</v>
      </c>
      <c r="L27" s="7">
        <f t="shared" ref="L27:P27" si="55">K27*(1+L28)</f>
        <v>20.09491280037054</v>
      </c>
      <c r="M27" s="7">
        <f t="shared" si="55"/>
        <v>20.255672102773506</v>
      </c>
      <c r="N27" s="7">
        <f t="shared" si="55"/>
        <v>20.417717479595694</v>
      </c>
      <c r="O27" s="7">
        <f t="shared" si="55"/>
        <v>20.581059219432461</v>
      </c>
      <c r="P27" s="7">
        <f t="shared" si="55"/>
        <v>20.745707693187921</v>
      </c>
    </row>
    <row r="28" spans="1:17" x14ac:dyDescent="0.2">
      <c r="A28" s="3" t="s">
        <v>71</v>
      </c>
      <c r="C28" s="20">
        <f>(C27-B27)/B27</f>
        <v>-3.2672137149750619E-3</v>
      </c>
      <c r="D28" s="20">
        <f t="shared" ref="D28:H28" si="56">(D27-C27)/C27</f>
        <v>1.7174050784648811E-2</v>
      </c>
      <c r="E28" s="20">
        <f t="shared" si="56"/>
        <v>2.6160715738001824E-2</v>
      </c>
      <c r="F28" s="20">
        <f>(F27-E27)/E27</f>
        <v>2.1345550488320353E-4</v>
      </c>
      <c r="G28" s="20">
        <f t="shared" si="56"/>
        <v>2.1115841544937147E-2</v>
      </c>
      <c r="H28" s="20">
        <f t="shared" si="56"/>
        <v>3.4642270018504756E-2</v>
      </c>
      <c r="I28" s="20">
        <f>(I27-H27)/H27</f>
        <v>1.7867779046376462E-2</v>
      </c>
      <c r="J28" s="20">
        <f>(J27-I27)/I27</f>
        <v>1.301695539321234E-2</v>
      </c>
      <c r="K28" s="23">
        <v>8.0000000000000002E-3</v>
      </c>
      <c r="L28" s="23">
        <v>8.0000000000000002E-3</v>
      </c>
      <c r="M28" s="23">
        <v>8.0000000000000002E-3</v>
      </c>
      <c r="N28" s="23">
        <v>8.0000000000000002E-3</v>
      </c>
      <c r="O28" s="23">
        <v>8.0000000000000002E-3</v>
      </c>
      <c r="P28" s="23">
        <v>8.0000000000000002E-3</v>
      </c>
    </row>
    <row r="29" spans="1:17" x14ac:dyDescent="0.2">
      <c r="A29" s="3"/>
      <c r="C29" s="20"/>
      <c r="D29" s="20"/>
      <c r="E29" s="20"/>
      <c r="F29" s="20"/>
      <c r="G29" s="20"/>
      <c r="H29" s="20"/>
      <c r="I29" s="20"/>
      <c r="J29" s="20"/>
      <c r="K29" s="23"/>
      <c r="L29" s="23"/>
      <c r="M29" s="23"/>
      <c r="N29" s="23"/>
      <c r="O29" s="23"/>
      <c r="P29" s="23"/>
    </row>
    <row r="30" spans="1:17" x14ac:dyDescent="0.2">
      <c r="A30" t="s">
        <v>326</v>
      </c>
      <c r="B30">
        <v>68.2</v>
      </c>
      <c r="C30">
        <v>59</v>
      </c>
      <c r="D30">
        <v>58.5</v>
      </c>
      <c r="E30">
        <v>47.3</v>
      </c>
      <c r="F30">
        <v>45</v>
      </c>
      <c r="G30">
        <v>29.4</v>
      </c>
      <c r="H30">
        <v>27.1</v>
      </c>
      <c r="I30">
        <v>23.2</v>
      </c>
      <c r="J30">
        <v>22.1</v>
      </c>
      <c r="K30" s="11">
        <f>J30*(1+K31)</f>
        <v>20.932696959614741</v>
      </c>
      <c r="L30" s="11">
        <f t="shared" ref="L30:P30" si="57">K30*(1+L31)</f>
        <v>19.966591529174334</v>
      </c>
      <c r="M30" s="11">
        <f t="shared" si="57"/>
        <v>19.201061332992136</v>
      </c>
      <c r="N30" s="11">
        <f t="shared" si="57"/>
        <v>18.571995061192506</v>
      </c>
      <c r="O30" s="11">
        <f t="shared" si="57"/>
        <v>18.05396727331788</v>
      </c>
      <c r="P30" s="11">
        <f t="shared" si="57"/>
        <v>17.625713391221634</v>
      </c>
    </row>
    <row r="31" spans="1:17" x14ac:dyDescent="0.2">
      <c r="A31" s="3" t="s">
        <v>63</v>
      </c>
      <c r="C31" s="20">
        <f t="shared" ref="C31:J31" si="58">(C30-B30)/B30</f>
        <v>-0.13489736070381236</v>
      </c>
      <c r="D31" s="20">
        <f t="shared" si="58"/>
        <v>-8.4745762711864406E-3</v>
      </c>
      <c r="E31" s="20">
        <f t="shared" si="58"/>
        <v>-0.19145299145299149</v>
      </c>
      <c r="F31" s="20">
        <f t="shared" si="58"/>
        <v>-4.8625792811839263E-2</v>
      </c>
      <c r="G31" s="20">
        <f t="shared" si="58"/>
        <v>-0.34666666666666668</v>
      </c>
      <c r="H31" s="20">
        <f t="shared" si="58"/>
        <v>-7.8231292517006709E-2</v>
      </c>
      <c r="I31" s="20">
        <f t="shared" si="58"/>
        <v>-0.14391143911439122</v>
      </c>
      <c r="J31" s="20">
        <f t="shared" si="58"/>
        <v>-4.7413793103448183E-2</v>
      </c>
      <c r="K31" s="17">
        <f>(J31*0.7+I31*0.15+H31*0.05)*0.9</f>
        <v>-5.2819142098880466E-2</v>
      </c>
      <c r="L31" s="17">
        <f t="shared" ref="L31:P31" si="59">(K31*0.7+J31*0.15+I31*0.05)*0.9</f>
        <v>-4.6152936351407804E-2</v>
      </c>
      <c r="M31" s="17">
        <f t="shared" si="59"/>
        <v>-3.8340554774390946E-2</v>
      </c>
      <c r="N31" s="17">
        <f t="shared" si="59"/>
        <v>-3.2762057309755975E-2</v>
      </c>
      <c r="O31" s="17">
        <f t="shared" si="59"/>
        <v>-2.7892953135502392E-2</v>
      </c>
      <c r="P31" s="17">
        <f t="shared" si="59"/>
        <v>-2.3720763177031153E-2</v>
      </c>
    </row>
    <row r="32" spans="1:17" x14ac:dyDescent="0.2">
      <c r="A32" s="3"/>
      <c r="C32" s="20"/>
      <c r="D32" s="20"/>
      <c r="E32" s="20"/>
      <c r="F32" s="20"/>
      <c r="G32" s="20"/>
      <c r="H32" s="20"/>
      <c r="I32" s="20"/>
      <c r="J32" s="20"/>
      <c r="K32" s="23"/>
      <c r="L32" s="23"/>
      <c r="M32" s="23"/>
      <c r="N32" s="23"/>
      <c r="O32" s="23"/>
      <c r="P32" s="23"/>
    </row>
    <row r="33" spans="1:16" x14ac:dyDescent="0.2">
      <c r="A33" s="15" t="s">
        <v>327</v>
      </c>
      <c r="B33">
        <f>B42/B30</f>
        <v>45.36363636363636</v>
      </c>
      <c r="C33">
        <f t="shared" ref="C33:I33" si="60">C42/C30</f>
        <v>49.489830508474576</v>
      </c>
      <c r="D33">
        <f t="shared" si="60"/>
        <v>49.810256410256414</v>
      </c>
      <c r="E33">
        <f t="shared" si="60"/>
        <v>57.665961945031711</v>
      </c>
      <c r="F33">
        <f t="shared" si="60"/>
        <v>56.451111111111118</v>
      </c>
      <c r="G33">
        <f t="shared" si="60"/>
        <v>70.377551020408163</v>
      </c>
      <c r="H33">
        <f t="shared" si="60"/>
        <v>73.343173431734314</v>
      </c>
      <c r="I33">
        <f t="shared" si="60"/>
        <v>77.551724137931032</v>
      </c>
      <c r="J33">
        <f>J42/J30</f>
        <v>75.515837104072403</v>
      </c>
      <c r="K33" s="7">
        <f>J33*(1+K34)</f>
        <v>76.403457898774377</v>
      </c>
      <c r="L33" s="7">
        <f t="shared" ref="L33:P33" si="61">K33*(1+L34)</f>
        <v>77.447087901155129</v>
      </c>
      <c r="M33" s="7">
        <f t="shared" si="61"/>
        <v>77.695325810556426</v>
      </c>
      <c r="N33" s="7">
        <f t="shared" si="61"/>
        <v>78.313471335170149</v>
      </c>
      <c r="O33" s="7">
        <f t="shared" si="61"/>
        <v>78.955186748167861</v>
      </c>
      <c r="P33" s="7">
        <f t="shared" si="61"/>
        <v>79.498983813037768</v>
      </c>
    </row>
    <row r="34" spans="1:16" x14ac:dyDescent="0.2">
      <c r="A34" s="3" t="s">
        <v>62</v>
      </c>
      <c r="C34" s="20">
        <f t="shared" ref="C34:D34" si="62">(C33-B33)/B33</f>
        <v>9.0958187561563889E-2</v>
      </c>
      <c r="D34" s="20">
        <f t="shared" si="62"/>
        <v>6.4745807065750482E-3</v>
      </c>
      <c r="E34" s="20">
        <f>(E33-D33)/D33</f>
        <v>0.15771260983024635</v>
      </c>
      <c r="F34" s="20">
        <f t="shared" ref="F34:I34" si="63">(F33-E33)/E33</f>
        <v>-2.106703491877257E-2</v>
      </c>
      <c r="G34" s="20">
        <f t="shared" si="63"/>
        <v>0.24669912841726055</v>
      </c>
      <c r="H34" s="20">
        <f t="shared" si="63"/>
        <v>4.2138755445840635E-2</v>
      </c>
      <c r="I34" s="20">
        <f t="shared" si="63"/>
        <v>5.7381628163579723E-2</v>
      </c>
      <c r="J34" s="20">
        <f>(J33-I33)/I33</f>
        <v>-2.6251989320542565E-2</v>
      </c>
      <c r="K34" s="17">
        <f>0.5*J34+0.25*I34+0.25*H34</f>
        <v>1.1754101242083807E-2</v>
      </c>
      <c r="L34" s="17">
        <f t="shared" ref="L34:P34" si="64">0.5*K34+0.25*J34+0.25*I34</f>
        <v>1.3659460331801192E-2</v>
      </c>
      <c r="M34" s="17">
        <f>0.5*L34+0.25*K34+0.25*J34</f>
        <v>3.2052581462859069E-3</v>
      </c>
      <c r="N34" s="17">
        <f t="shared" si="64"/>
        <v>7.9560194666142038E-3</v>
      </c>
      <c r="O34" s="17">
        <f t="shared" si="64"/>
        <v>8.1941893528288765E-3</v>
      </c>
      <c r="P34" s="17">
        <f t="shared" si="64"/>
        <v>6.8874140796394657E-3</v>
      </c>
    </row>
    <row r="35" spans="1:16" x14ac:dyDescent="0.2">
      <c r="A35" s="3"/>
      <c r="C35" s="20"/>
      <c r="D35" s="20"/>
      <c r="E35" s="20"/>
      <c r="F35" s="20"/>
      <c r="G35" s="20"/>
      <c r="H35" s="20"/>
      <c r="I35" s="20"/>
      <c r="J35" s="20"/>
      <c r="K35" s="23"/>
      <c r="L35" s="23"/>
      <c r="M35" s="23"/>
      <c r="N35" s="23"/>
      <c r="O35" s="23"/>
      <c r="P35" s="23"/>
    </row>
    <row r="36" spans="1:16" x14ac:dyDescent="0.2">
      <c r="A36" s="3"/>
      <c r="C36" s="20"/>
      <c r="D36" s="20"/>
      <c r="E36" s="20"/>
      <c r="F36" s="20"/>
      <c r="G36" s="20"/>
      <c r="H36" s="20"/>
      <c r="I36" s="20"/>
      <c r="J36" s="20"/>
      <c r="K36" s="23"/>
      <c r="L36" s="23"/>
      <c r="M36" s="23"/>
      <c r="N36" s="23"/>
      <c r="O36" s="23"/>
      <c r="P36" s="23"/>
    </row>
    <row r="37" spans="1:16" ht="17" thickBot="1" x14ac:dyDescent="0.25">
      <c r="B37" s="24">
        <v>2017</v>
      </c>
      <c r="C37" s="24">
        <v>2018</v>
      </c>
      <c r="D37" s="24">
        <v>2019</v>
      </c>
      <c r="E37" s="24">
        <v>2020</v>
      </c>
      <c r="F37" s="24">
        <v>2021</v>
      </c>
      <c r="G37" s="24">
        <v>2022</v>
      </c>
      <c r="H37" s="24">
        <v>2023</v>
      </c>
      <c r="I37" s="24">
        <v>2024</v>
      </c>
      <c r="J37" s="24">
        <v>2025</v>
      </c>
      <c r="K37" s="24">
        <v>2026</v>
      </c>
      <c r="L37" s="24">
        <v>2027</v>
      </c>
      <c r="M37" s="24">
        <v>2028</v>
      </c>
      <c r="N37" s="24">
        <v>2029</v>
      </c>
      <c r="O37" s="24">
        <v>2030</v>
      </c>
      <c r="P37" s="24">
        <v>2031</v>
      </c>
    </row>
    <row r="38" spans="1:16" x14ac:dyDescent="0.2">
      <c r="A38" t="s">
        <v>70</v>
      </c>
      <c r="B38" s="7">
        <v>4227.3</v>
      </c>
      <c r="C38" s="11">
        <v>4660.3999999999996</v>
      </c>
      <c r="D38" s="11">
        <v>5202.1000000000004</v>
      </c>
      <c r="E38" s="11">
        <v>5615.9</v>
      </c>
      <c r="F38" s="11">
        <v>6074.6</v>
      </c>
      <c r="G38" s="11">
        <v>6751.6</v>
      </c>
      <c r="H38" s="11">
        <v>7465</v>
      </c>
      <c r="I38" s="11">
        <v>8162.6</v>
      </c>
      <c r="J38" s="11">
        <v>8539.7999999999993</v>
      </c>
      <c r="K38" s="11">
        <f t="shared" ref="K38:P38" si="65">K21*K27</f>
        <v>8935.1967912952696</v>
      </c>
      <c r="L38" s="11">
        <f t="shared" si="65"/>
        <v>9312.5956471925329</v>
      </c>
      <c r="M38" s="11">
        <f t="shared" si="65"/>
        <v>9633.2149919049498</v>
      </c>
      <c r="N38" s="11">
        <f t="shared" si="65"/>
        <v>9938.6802160716434</v>
      </c>
      <c r="O38" s="11">
        <f t="shared" si="65"/>
        <v>10222.134622120835</v>
      </c>
      <c r="P38" s="11">
        <f t="shared" si="65"/>
        <v>10481.147973947109</v>
      </c>
    </row>
    <row r="39" spans="1:16" x14ac:dyDescent="0.2">
      <c r="A39" s="3" t="s">
        <v>315</v>
      </c>
      <c r="C39" s="17">
        <f>(C38-B38)/B38</f>
        <v>0.10245310245310232</v>
      </c>
      <c r="D39" s="17">
        <f t="shared" ref="D39:J39" si="66">(D38-C38)/C38</f>
        <v>0.11623465796927319</v>
      </c>
      <c r="E39" s="17">
        <f t="shared" si="66"/>
        <v>7.9544799215701206E-2</v>
      </c>
      <c r="F39" s="17">
        <f t="shared" si="66"/>
        <v>8.1678804822023318E-2</v>
      </c>
      <c r="G39" s="17">
        <f t="shared" si="66"/>
        <v>0.1114476673361209</v>
      </c>
      <c r="H39" s="17">
        <f t="shared" si="66"/>
        <v>0.10566384264470638</v>
      </c>
      <c r="I39" s="17">
        <f t="shared" si="66"/>
        <v>9.3449430676490336E-2</v>
      </c>
      <c r="J39" s="17">
        <f t="shared" si="66"/>
        <v>4.6210766177443324E-2</v>
      </c>
      <c r="K39" s="25">
        <f t="shared" ref="K39" si="67">(K38-J38)/J38</f>
        <v>4.6300474401656987E-2</v>
      </c>
      <c r="L39" s="25">
        <f t="shared" ref="L39" si="68">(L38-K38)/K38</f>
        <v>4.2237330045705075E-2</v>
      </c>
      <c r="M39" s="25">
        <f t="shared" ref="M39" si="69">(M38-L38)/L38</f>
        <v>3.4428569311830262E-2</v>
      </c>
      <c r="N39" s="25">
        <f t="shared" ref="N39" si="70">(N38-M38)/M38</f>
        <v>3.1709582358888933E-2</v>
      </c>
      <c r="O39" s="25">
        <f t="shared" ref="O39" si="71">(O38-N38)/N38</f>
        <v>2.8520326631580637E-2</v>
      </c>
      <c r="P39" s="25">
        <f t="shared" ref="P39" si="72">(P38-O38)/O38</f>
        <v>2.5338479818663842E-2</v>
      </c>
    </row>
    <row r="41" spans="1:16" x14ac:dyDescent="0.2">
      <c r="P41">
        <f>P38/P45</f>
        <v>0.88207522580467357</v>
      </c>
    </row>
    <row r="42" spans="1:16" x14ac:dyDescent="0.2">
      <c r="A42" s="15" t="s">
        <v>69</v>
      </c>
      <c r="B42" s="7">
        <v>3093.7999999999997</v>
      </c>
      <c r="C42" s="11">
        <v>2919.9</v>
      </c>
      <c r="D42" s="11">
        <v>2913.9</v>
      </c>
      <c r="E42" s="11">
        <v>2727.6</v>
      </c>
      <c r="F42" s="11">
        <v>2540.3000000000002</v>
      </c>
      <c r="G42" s="11">
        <v>2069.1</v>
      </c>
      <c r="H42" s="11">
        <v>1987.6</v>
      </c>
      <c r="I42" s="11">
        <v>1799.1999999999998</v>
      </c>
      <c r="J42" s="11">
        <v>1668.9</v>
      </c>
      <c r="K42" s="11">
        <f>K33*K30</f>
        <v>1599.3304308617273</v>
      </c>
      <c r="L42" s="11">
        <f t="shared" ref="L42:P42" si="73">L33*L30</f>
        <v>1546.3543692464241</v>
      </c>
      <c r="M42" s="11">
        <f t="shared" si="73"/>
        <v>1491.8327161753009</v>
      </c>
      <c r="N42" s="11">
        <f t="shared" si="73"/>
        <v>1454.437402861621</v>
      </c>
      <c r="O42" s="11">
        <f t="shared" si="73"/>
        <v>1425.4543576101241</v>
      </c>
      <c r="P42" s="11">
        <f t="shared" si="73"/>
        <v>1401.2263035819717</v>
      </c>
    </row>
    <row r="43" spans="1:16" x14ac:dyDescent="0.2">
      <c r="A43" s="3" t="s">
        <v>315</v>
      </c>
      <c r="C43" s="17">
        <f>(C42-B42)/B42</f>
        <v>-5.6209192578705686E-2</v>
      </c>
      <c r="D43" s="17">
        <f t="shared" ref="D43:J43" si="74">(D42-C42)/C42</f>
        <v>-2.0548648926333093E-3</v>
      </c>
      <c r="E43" s="17">
        <f t="shared" si="74"/>
        <v>-6.3934932564604197E-2</v>
      </c>
      <c r="F43" s="17">
        <f t="shared" si="74"/>
        <v>-6.8668426455491913E-2</v>
      </c>
      <c r="G43" s="17">
        <f t="shared" si="74"/>
        <v>-0.18548990276738977</v>
      </c>
      <c r="H43" s="17">
        <f t="shared" si="74"/>
        <v>-3.9389106374752313E-2</v>
      </c>
      <c r="I43" s="17">
        <f t="shared" si="74"/>
        <v>-9.478768363855912E-2</v>
      </c>
      <c r="J43" s="17">
        <f t="shared" si="74"/>
        <v>-7.242107603379265E-2</v>
      </c>
      <c r="K43" s="17">
        <f t="shared" ref="K43" si="75">(K42-J42)/J42</f>
        <v>-4.1685882400546916E-2</v>
      </c>
      <c r="L43" s="17">
        <f t="shared" ref="L43" si="76">(L42-K42)/K42</f>
        <v>-3.3123900222894825E-2</v>
      </c>
      <c r="M43" s="17">
        <f t="shared" ref="M43" si="77">(M42-L42)/L42</f>
        <v>-3.525818800362876E-2</v>
      </c>
      <c r="N43" s="17">
        <f t="shared" ref="N43" si="78">(N42-M42)/M42</f>
        <v>-2.5066693408864565E-2</v>
      </c>
      <c r="O43" s="17">
        <f t="shared" ref="O43" si="79">(O42-N42)/N42</f>
        <v>-1.9927323922275642E-2</v>
      </c>
      <c r="P43" s="17">
        <f t="shared" ref="P43" si="80">(P42-O42)/O42</f>
        <v>-1.699672381567691E-2</v>
      </c>
    </row>
    <row r="45" spans="1:16" x14ac:dyDescent="0.2">
      <c r="A45" t="s">
        <v>328</v>
      </c>
      <c r="B45" s="57">
        <f>B38+B42</f>
        <v>7321.1</v>
      </c>
      <c r="C45" s="57">
        <f t="shared" ref="C45:P45" si="81">C38+C42</f>
        <v>7580.2999999999993</v>
      </c>
      <c r="D45" s="57">
        <f t="shared" si="81"/>
        <v>8116</v>
      </c>
      <c r="E45" s="57">
        <f t="shared" si="81"/>
        <v>8343.5</v>
      </c>
      <c r="F45" s="57">
        <f t="shared" si="81"/>
        <v>8614.9000000000015</v>
      </c>
      <c r="G45" s="57">
        <f t="shared" si="81"/>
        <v>8820.7000000000007</v>
      </c>
      <c r="H45" s="57">
        <f t="shared" si="81"/>
        <v>9452.6</v>
      </c>
      <c r="I45" s="57">
        <f t="shared" si="81"/>
        <v>9961.7999999999993</v>
      </c>
      <c r="J45" s="57">
        <f t="shared" si="81"/>
        <v>10208.699999999999</v>
      </c>
      <c r="K45" s="57">
        <f t="shared" si="81"/>
        <v>10534.527222156998</v>
      </c>
      <c r="L45" s="57">
        <f t="shared" si="81"/>
        <v>10858.950016438957</v>
      </c>
      <c r="M45" s="57">
        <f t="shared" si="81"/>
        <v>11125.04770808025</v>
      </c>
      <c r="N45" s="57">
        <f t="shared" si="81"/>
        <v>11393.117618933264</v>
      </c>
      <c r="O45" s="57">
        <f t="shared" si="81"/>
        <v>11647.588979730959</v>
      </c>
      <c r="P45" s="57">
        <f t="shared" si="81"/>
        <v>11882.374277529081</v>
      </c>
    </row>
    <row r="46" spans="1:16" x14ac:dyDescent="0.2">
      <c r="A46" s="3" t="s">
        <v>315</v>
      </c>
      <c r="C46" s="17">
        <f>(C45-B45)/B45</f>
        <v>3.5404515714851439E-2</v>
      </c>
      <c r="D46" s="17">
        <f t="shared" ref="D46:P46" si="82">(D45-C45)/C45</f>
        <v>7.0670026252259252E-2</v>
      </c>
      <c r="E46" s="17">
        <f t="shared" si="82"/>
        <v>2.8031049778215869E-2</v>
      </c>
      <c r="F46" s="17">
        <f t="shared" si="82"/>
        <v>3.2528315455144896E-2</v>
      </c>
      <c r="G46" s="17">
        <f t="shared" si="82"/>
        <v>2.3888843747460708E-2</v>
      </c>
      <c r="H46" s="17">
        <f t="shared" si="82"/>
        <v>7.1638305349915499E-2</v>
      </c>
      <c r="I46" s="17">
        <f t="shared" si="82"/>
        <v>5.3868776844465956E-2</v>
      </c>
      <c r="J46" s="17">
        <f t="shared" si="82"/>
        <v>2.4784677467927448E-2</v>
      </c>
      <c r="K46" s="17">
        <f t="shared" si="82"/>
        <v>3.1916622308129215E-2</v>
      </c>
      <c r="L46" s="17">
        <f t="shared" si="82"/>
        <v>3.0796141814471725E-2</v>
      </c>
      <c r="M46" s="17">
        <f t="shared" si="82"/>
        <v>2.450491909792913E-2</v>
      </c>
      <c r="N46" s="17">
        <f t="shared" si="82"/>
        <v>2.4096068429289626E-2</v>
      </c>
      <c r="O46" s="17">
        <f t="shared" si="82"/>
        <v>2.2335533548324911E-2</v>
      </c>
      <c r="P46" s="17">
        <f t="shared" si="82"/>
        <v>2.0157416114759324E-2</v>
      </c>
    </row>
    <row r="47" spans="1:16" x14ac:dyDescent="0.2">
      <c r="A47" s="3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</row>
    <row r="48" spans="1:16" x14ac:dyDescent="0.2">
      <c r="A48" s="3"/>
      <c r="C48" s="17"/>
      <c r="D48" s="17"/>
      <c r="E48" s="17"/>
      <c r="F48" s="17"/>
      <c r="G48" s="17"/>
      <c r="H48" s="17"/>
      <c r="I48" s="17"/>
      <c r="K48" s="17"/>
      <c r="L48" s="17"/>
      <c r="M48" s="17"/>
      <c r="N48" s="17"/>
      <c r="O48" s="17"/>
      <c r="P48" s="17"/>
    </row>
    <row r="49" spans="1:16" x14ac:dyDescent="0.2">
      <c r="A49" s="17" t="s">
        <v>368</v>
      </c>
      <c r="C49" s="17"/>
      <c r="D49" s="17"/>
      <c r="E49" s="17"/>
      <c r="F49" s="17"/>
      <c r="G49" s="17"/>
      <c r="H49" s="17"/>
      <c r="I49" s="17"/>
      <c r="J49" s="60">
        <f>J45</f>
        <v>10208.699999999999</v>
      </c>
      <c r="K49" s="60">
        <f>K45+K68</f>
        <v>11364.050342333685</v>
      </c>
      <c r="L49" s="60">
        <f t="shared" ref="L49:P49" si="83">L45+L68</f>
        <v>11712.710713627823</v>
      </c>
      <c r="M49" s="60">
        <f t="shared" si="83"/>
        <v>11998.546830827858</v>
      </c>
      <c r="N49" s="60">
        <f t="shared" si="83"/>
        <v>12286.725850823967</v>
      </c>
      <c r="O49" s="60">
        <f t="shared" si="83"/>
        <v>12560.369629151706</v>
      </c>
      <c r="P49" s="60">
        <f t="shared" si="83"/>
        <v>12812.876318729164</v>
      </c>
    </row>
    <row r="50" spans="1:16" x14ac:dyDescent="0.2">
      <c r="A50" s="3"/>
      <c r="C50" s="17"/>
      <c r="D50" s="17"/>
      <c r="E50" s="17"/>
      <c r="F50" s="17"/>
      <c r="G50" s="17"/>
      <c r="H50" s="17"/>
      <c r="I50" s="17"/>
      <c r="J50" s="17"/>
      <c r="K50" s="17">
        <f t="shared" ref="K50:P50" si="84">(K49-J49)/J49</f>
        <v>0.1131731113984823</v>
      </c>
      <c r="L50" s="17">
        <f t="shared" si="84"/>
        <v>3.0680994961391383E-2</v>
      </c>
      <c r="M50" s="17">
        <f t="shared" si="84"/>
        <v>2.44039252901092E-2</v>
      </c>
      <c r="N50" s="17">
        <f t="shared" si="84"/>
        <v>2.4017826830136681E-2</v>
      </c>
      <c r="O50" s="17">
        <f t="shared" si="84"/>
        <v>2.2271497032660556E-2</v>
      </c>
      <c r="P50" s="17">
        <f t="shared" si="84"/>
        <v>2.0103444168665892E-2</v>
      </c>
    </row>
    <row r="51" spans="1:16" x14ac:dyDescent="0.2">
      <c r="A51" s="3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</row>
    <row r="53" spans="1:16" x14ac:dyDescent="0.2">
      <c r="A53" s="15" t="s">
        <v>67</v>
      </c>
      <c r="B53">
        <v>1360.7</v>
      </c>
      <c r="C53" s="11">
        <v>1309</v>
      </c>
      <c r="D53" s="11">
        <v>1279.5</v>
      </c>
      <c r="E53" s="11">
        <v>1189</v>
      </c>
      <c r="F53" s="11">
        <v>1115.2</v>
      </c>
      <c r="G53" s="11">
        <v>947.9</v>
      </c>
      <c r="H53" s="11">
        <v>927.2</v>
      </c>
      <c r="I53" s="11">
        <v>836.1</v>
      </c>
      <c r="J53" s="11">
        <v>742.3</v>
      </c>
      <c r="K53" s="11">
        <f>K42*K54</f>
        <v>703.70538957916006</v>
      </c>
      <c r="L53" s="11">
        <f>L42*L54</f>
        <v>680.39592246842665</v>
      </c>
      <c r="M53" s="11">
        <f t="shared" ref="M53:P53" si="85">M42*M54</f>
        <v>656.40639511713243</v>
      </c>
      <c r="N53" s="11">
        <f t="shared" si="85"/>
        <v>639.9524572591132</v>
      </c>
      <c r="O53" s="11">
        <f t="shared" si="85"/>
        <v>627.19991734845462</v>
      </c>
      <c r="P53" s="11">
        <f t="shared" si="85"/>
        <v>616.5395735760676</v>
      </c>
    </row>
    <row r="54" spans="1:16" x14ac:dyDescent="0.2">
      <c r="A54" s="3" t="s">
        <v>68</v>
      </c>
      <c r="B54" s="17">
        <f>B53/B42</f>
        <v>0.43981511409916613</v>
      </c>
      <c r="C54" s="17">
        <f t="shared" ref="C54:J54" si="86">C53/C42</f>
        <v>0.44830302407616696</v>
      </c>
      <c r="D54" s="17">
        <f t="shared" si="86"/>
        <v>0.43910223411922167</v>
      </c>
      <c r="E54" s="17">
        <f t="shared" si="86"/>
        <v>0.4359143569438334</v>
      </c>
      <c r="F54" s="17">
        <f t="shared" si="86"/>
        <v>0.43900326733063022</v>
      </c>
      <c r="G54" s="17">
        <f t="shared" si="86"/>
        <v>0.45812188874389831</v>
      </c>
      <c r="H54" s="17">
        <f t="shared" si="86"/>
        <v>0.46649225196216548</v>
      </c>
      <c r="I54" s="17">
        <f t="shared" si="86"/>
        <v>0.46470653623832819</v>
      </c>
      <c r="J54" s="17">
        <f t="shared" si="86"/>
        <v>0.44478398945413139</v>
      </c>
      <c r="K54" s="17">
        <v>0.44</v>
      </c>
      <c r="L54" s="17">
        <v>0.44</v>
      </c>
      <c r="M54" s="17">
        <v>0.44</v>
      </c>
      <c r="N54" s="17">
        <v>0.44</v>
      </c>
      <c r="O54" s="17">
        <v>0.44</v>
      </c>
      <c r="P54" s="17">
        <v>0.44</v>
      </c>
    </row>
    <row r="55" spans="1:16" x14ac:dyDescent="0.2">
      <c r="A55" s="3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</row>
    <row r="56" spans="1:16" x14ac:dyDescent="0.2">
      <c r="A56" t="s">
        <v>66</v>
      </c>
      <c r="B56">
        <v>2151.3000000000002</v>
      </c>
      <c r="C56" s="11">
        <v>2531.1999999999998</v>
      </c>
      <c r="D56" s="11">
        <v>2830.7</v>
      </c>
      <c r="E56" s="11">
        <v>3125.2</v>
      </c>
      <c r="F56" s="11">
        <v>3402.4</v>
      </c>
      <c r="G56" s="11">
        <v>3677</v>
      </c>
      <c r="H56" s="11">
        <v>3937.8</v>
      </c>
      <c r="I56" s="11">
        <v>4214.2</v>
      </c>
      <c r="J56" s="11">
        <v>4566.1000000000004</v>
      </c>
      <c r="K56" s="11">
        <f>K57*K38</f>
        <v>4646.3023314735401</v>
      </c>
      <c r="L56" s="11">
        <f t="shared" ref="L56:O56" si="87">L57*L38</f>
        <v>4842.549736540117</v>
      </c>
      <c r="M56" s="11">
        <f t="shared" si="87"/>
        <v>5009.2717957905743</v>
      </c>
      <c r="N56" s="11">
        <f t="shared" si="87"/>
        <v>5168.1137123572544</v>
      </c>
      <c r="O56" s="11">
        <f t="shared" si="87"/>
        <v>5315.5100035028345</v>
      </c>
      <c r="P56" s="11">
        <f>P57*P38</f>
        <v>5450.1969464524964</v>
      </c>
    </row>
    <row r="57" spans="1:16" x14ac:dyDescent="0.2">
      <c r="A57" s="3" t="s">
        <v>68</v>
      </c>
      <c r="B57" s="17">
        <f>B56/B38</f>
        <v>0.50890639415229577</v>
      </c>
      <c r="C57" s="17">
        <f t="shared" ref="C57:J57" si="88">C56/C38</f>
        <v>0.54312934512059052</v>
      </c>
      <c r="D57" s="17">
        <f t="shared" si="88"/>
        <v>0.54414563349416578</v>
      </c>
      <c r="E57" s="17">
        <f t="shared" si="88"/>
        <v>0.55649139051621288</v>
      </c>
      <c r="F57" s="17">
        <f t="shared" si="88"/>
        <v>0.56010272281302476</v>
      </c>
      <c r="G57" s="17">
        <f t="shared" si="88"/>
        <v>0.54461164760945546</v>
      </c>
      <c r="H57" s="17">
        <f t="shared" si="88"/>
        <v>0.5275016744809109</v>
      </c>
      <c r="I57" s="17">
        <f t="shared" si="88"/>
        <v>0.51628157694852128</v>
      </c>
      <c r="J57" s="17">
        <f t="shared" si="88"/>
        <v>0.53468465303637092</v>
      </c>
      <c r="K57" s="17">
        <v>0.52</v>
      </c>
      <c r="L57" s="17">
        <v>0.52</v>
      </c>
      <c r="M57" s="17">
        <v>0.52</v>
      </c>
      <c r="N57" s="17">
        <v>0.52</v>
      </c>
      <c r="O57" s="17">
        <v>0.52</v>
      </c>
      <c r="P57" s="17">
        <v>0.52</v>
      </c>
    </row>
    <row r="58" spans="1:16" x14ac:dyDescent="0.2">
      <c r="A58" s="3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</row>
    <row r="59" spans="1:16" x14ac:dyDescent="0.2">
      <c r="A59" s="3" t="s">
        <v>27</v>
      </c>
      <c r="B59" s="60">
        <f>B45-SUM(B53,B56)</f>
        <v>3809.1000000000004</v>
      </c>
      <c r="C59" s="60">
        <f t="shared" ref="C59:P59" si="89">C45-SUM(C53,C56)</f>
        <v>3740.0999999999995</v>
      </c>
      <c r="D59" s="60">
        <f t="shared" si="89"/>
        <v>4005.8</v>
      </c>
      <c r="E59" s="60">
        <f t="shared" si="89"/>
        <v>4029.3</v>
      </c>
      <c r="F59" s="60">
        <f t="shared" si="89"/>
        <v>4097.3000000000011</v>
      </c>
      <c r="G59" s="60">
        <f t="shared" si="89"/>
        <v>4195.8000000000011</v>
      </c>
      <c r="H59" s="60">
        <f t="shared" si="89"/>
        <v>4587.6000000000004</v>
      </c>
      <c r="I59" s="60">
        <f t="shared" si="89"/>
        <v>4911.4999999999991</v>
      </c>
      <c r="J59" s="60">
        <f t="shared" si="89"/>
        <v>4900.2999999999984</v>
      </c>
      <c r="K59" s="60">
        <f t="shared" si="89"/>
        <v>5184.5195011042979</v>
      </c>
      <c r="L59" s="60">
        <f t="shared" si="89"/>
        <v>5336.0043574304136</v>
      </c>
      <c r="M59" s="60">
        <f t="shared" si="89"/>
        <v>5459.3695171725431</v>
      </c>
      <c r="N59" s="60">
        <f t="shared" si="89"/>
        <v>5585.0514493168957</v>
      </c>
      <c r="O59" s="60">
        <f t="shared" si="89"/>
        <v>5704.8790588796701</v>
      </c>
      <c r="P59" s="60">
        <f t="shared" si="89"/>
        <v>5815.6377575005172</v>
      </c>
    </row>
    <row r="60" spans="1:16" x14ac:dyDescent="0.2">
      <c r="A60" s="3"/>
      <c r="B60" s="17">
        <f>B59/B45</f>
        <v>0.5202906667030911</v>
      </c>
      <c r="C60" s="17">
        <f t="shared" ref="C60:P60" si="90">C59/C45</f>
        <v>0.49339735894357739</v>
      </c>
      <c r="D60" s="17">
        <f t="shared" si="90"/>
        <v>0.49356826022671269</v>
      </c>
      <c r="E60" s="17">
        <f t="shared" si="90"/>
        <v>0.48292682926829272</v>
      </c>
      <c r="F60" s="17">
        <f t="shared" si="90"/>
        <v>0.47560621713542822</v>
      </c>
      <c r="G60" s="17">
        <f t="shared" si="90"/>
        <v>0.47567653360844386</v>
      </c>
      <c r="H60" s="17">
        <f t="shared" si="90"/>
        <v>0.48532678839684323</v>
      </c>
      <c r="I60" s="17">
        <f t="shared" si="90"/>
        <v>0.49303338754040427</v>
      </c>
      <c r="J60" s="17">
        <f t="shared" si="90"/>
        <v>0.48001214650249285</v>
      </c>
      <c r="K60" s="17">
        <f t="shared" si="90"/>
        <v>0.49214543678807271</v>
      </c>
      <c r="L60" s="17">
        <f t="shared" si="90"/>
        <v>0.49139229385460259</v>
      </c>
      <c r="M60" s="17">
        <f t="shared" si="90"/>
        <v>0.49072773981969892</v>
      </c>
      <c r="N60" s="17">
        <f t="shared" si="90"/>
        <v>0.49021274387930208</v>
      </c>
      <c r="O60" s="17">
        <f t="shared" si="90"/>
        <v>0.48979055397707238</v>
      </c>
      <c r="P60" s="17">
        <f t="shared" si="90"/>
        <v>0.48943398193562615</v>
      </c>
    </row>
    <row r="61" spans="1:16" x14ac:dyDescent="0.2">
      <c r="A61" s="3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</row>
    <row r="62" spans="1:16" x14ac:dyDescent="0.2">
      <c r="A62" s="17" t="s">
        <v>356</v>
      </c>
      <c r="B62" s="17"/>
      <c r="C62" s="17"/>
      <c r="D62" s="17"/>
      <c r="E62" s="17"/>
      <c r="F62" s="17"/>
      <c r="G62" s="17"/>
      <c r="H62" s="17"/>
      <c r="I62" s="17"/>
      <c r="J62" s="17"/>
      <c r="K62" s="11">
        <f>K59*K63</f>
        <v>1296.1298752760745</v>
      </c>
      <c r="L62" s="11">
        <f t="shared" ref="L62:P62" si="91">L59*L63</f>
        <v>1334.0010893576034</v>
      </c>
      <c r="M62" s="11">
        <f t="shared" si="91"/>
        <v>1364.8423792931358</v>
      </c>
      <c r="N62" s="11">
        <f t="shared" si="91"/>
        <v>1396.2628623292239</v>
      </c>
      <c r="O62" s="11">
        <f t="shared" si="91"/>
        <v>1426.2197647199175</v>
      </c>
      <c r="P62" s="11">
        <f t="shared" si="91"/>
        <v>1453.9094393751293</v>
      </c>
    </row>
    <row r="63" spans="1:16" x14ac:dyDescent="0.2">
      <c r="A63" s="3"/>
      <c r="B63" s="17"/>
      <c r="C63" s="17"/>
      <c r="D63" s="17"/>
      <c r="E63" s="17"/>
      <c r="F63" s="17"/>
      <c r="G63" s="17"/>
      <c r="H63" s="17"/>
      <c r="I63" s="17"/>
      <c r="J63" s="17"/>
      <c r="K63" s="17">
        <f>0.25</f>
        <v>0.25</v>
      </c>
      <c r="L63" s="17">
        <f t="shared" ref="L63:P63" si="92">0.25</f>
        <v>0.25</v>
      </c>
      <c r="M63" s="17">
        <f t="shared" si="92"/>
        <v>0.25</v>
      </c>
      <c r="N63" s="17">
        <f t="shared" si="92"/>
        <v>0.25</v>
      </c>
      <c r="O63" s="17">
        <f t="shared" si="92"/>
        <v>0.25</v>
      </c>
      <c r="P63" s="17">
        <f t="shared" si="92"/>
        <v>0.25</v>
      </c>
    </row>
    <row r="64" spans="1:16" x14ac:dyDescent="0.2">
      <c r="A64" s="3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</row>
    <row r="65" spans="1:16" x14ac:dyDescent="0.2">
      <c r="A65" s="17" t="s">
        <v>357</v>
      </c>
      <c r="B65" s="17"/>
      <c r="C65" s="17"/>
      <c r="D65" s="17"/>
      <c r="E65" s="17"/>
      <c r="F65" s="17"/>
      <c r="G65" s="17"/>
      <c r="H65" s="17"/>
      <c r="I65" s="17"/>
      <c r="J65" s="17"/>
      <c r="K65" s="11">
        <f>K62*K66</f>
        <v>466.60675509938682</v>
      </c>
      <c r="L65" s="11">
        <f t="shared" ref="L65:P65" si="93">L62*L66</f>
        <v>480.24039216873723</v>
      </c>
      <c r="M65" s="11">
        <f t="shared" si="93"/>
        <v>491.34325654552885</v>
      </c>
      <c r="N65" s="11">
        <f t="shared" si="93"/>
        <v>502.6546304385206</v>
      </c>
      <c r="O65" s="11">
        <f t="shared" si="93"/>
        <v>513.43911529917034</v>
      </c>
      <c r="P65" s="11">
        <f t="shared" si="93"/>
        <v>523.40739817504652</v>
      </c>
    </row>
    <row r="66" spans="1:16" x14ac:dyDescent="0.2">
      <c r="A66" s="3"/>
      <c r="B66" s="17"/>
      <c r="C66" s="17"/>
      <c r="D66" s="17"/>
      <c r="E66" s="17"/>
      <c r="F66" s="17"/>
      <c r="G66" s="17"/>
      <c r="H66" s="17"/>
      <c r="I66" s="17"/>
      <c r="J66" s="17"/>
      <c r="K66" s="17">
        <f>0.36</f>
        <v>0.36</v>
      </c>
      <c r="L66" s="17">
        <f t="shared" ref="L66:P66" si="94">0.36</f>
        <v>0.36</v>
      </c>
      <c r="M66" s="17">
        <f t="shared" si="94"/>
        <v>0.36</v>
      </c>
      <c r="N66" s="17">
        <f t="shared" si="94"/>
        <v>0.36</v>
      </c>
      <c r="O66" s="17">
        <f t="shared" si="94"/>
        <v>0.36</v>
      </c>
      <c r="P66" s="17">
        <f t="shared" si="94"/>
        <v>0.36</v>
      </c>
    </row>
    <row r="67" spans="1:16" x14ac:dyDescent="0.2">
      <c r="A67" s="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</row>
    <row r="68" spans="1:16" x14ac:dyDescent="0.2">
      <c r="A68" s="17" t="s">
        <v>367</v>
      </c>
      <c r="B68" s="17"/>
      <c r="C68" s="17"/>
      <c r="D68" s="17"/>
      <c r="E68" s="17"/>
      <c r="F68" s="17"/>
      <c r="G68" s="17"/>
      <c r="H68" s="17"/>
      <c r="I68" s="17"/>
      <c r="J68" s="17"/>
      <c r="K68" s="11">
        <f>K62*K69</f>
        <v>829.52312017668771</v>
      </c>
      <c r="L68" s="11">
        <f t="shared" ref="L68:P68" si="95">L62*L69</f>
        <v>853.76069718886617</v>
      </c>
      <c r="M68" s="11">
        <f t="shared" si="95"/>
        <v>873.49912274760686</v>
      </c>
      <c r="N68" s="11">
        <f t="shared" si="95"/>
        <v>893.60823189070334</v>
      </c>
      <c r="O68" s="11">
        <f t="shared" si="95"/>
        <v>912.78064942074718</v>
      </c>
      <c r="P68" s="11">
        <f t="shared" si="95"/>
        <v>930.50204120008277</v>
      </c>
    </row>
    <row r="69" spans="1:16" x14ac:dyDescent="0.2">
      <c r="A69" s="3"/>
      <c r="B69" s="17"/>
      <c r="C69" s="17"/>
      <c r="D69" s="17"/>
      <c r="E69" s="17"/>
      <c r="F69" s="17"/>
      <c r="G69" s="17"/>
      <c r="H69" s="17"/>
      <c r="I69" s="17"/>
      <c r="J69" s="17"/>
      <c r="K69" s="17">
        <v>0.64</v>
      </c>
      <c r="L69" s="17">
        <v>0.64</v>
      </c>
      <c r="M69" s="17">
        <v>0.64</v>
      </c>
      <c r="N69" s="17">
        <v>0.64</v>
      </c>
      <c r="O69" s="17">
        <v>0.64</v>
      </c>
      <c r="P69" s="17">
        <v>0.64</v>
      </c>
    </row>
    <row r="71" spans="1:16" x14ac:dyDescent="0.2">
      <c r="A71" s="15" t="s">
        <v>329</v>
      </c>
      <c r="B71" s="58">
        <f>SUM(B53,B56)</f>
        <v>3512</v>
      </c>
      <c r="C71" s="58">
        <f>SUM(C53,C56)</f>
        <v>3840.2</v>
      </c>
      <c r="D71" s="58">
        <f t="shared" ref="D71:P71" si="96">SUM(D53,D56)</f>
        <v>4110.2</v>
      </c>
      <c r="E71" s="58">
        <f t="shared" si="96"/>
        <v>4314.2</v>
      </c>
      <c r="F71" s="58">
        <f t="shared" si="96"/>
        <v>4517.6000000000004</v>
      </c>
      <c r="G71" s="58">
        <f t="shared" si="96"/>
        <v>4624.8999999999996</v>
      </c>
      <c r="H71" s="58">
        <f t="shared" si="96"/>
        <v>4865</v>
      </c>
      <c r="I71" s="58">
        <f t="shared" si="96"/>
        <v>5050.3</v>
      </c>
      <c r="J71" s="58">
        <f t="shared" si="96"/>
        <v>5308.4000000000005</v>
      </c>
      <c r="K71" s="58">
        <f t="shared" si="96"/>
        <v>5350.0077210526997</v>
      </c>
      <c r="L71" s="58">
        <f t="shared" si="96"/>
        <v>5522.9456590085438</v>
      </c>
      <c r="M71" s="58">
        <f t="shared" si="96"/>
        <v>5665.6781909077072</v>
      </c>
      <c r="N71" s="58">
        <f t="shared" si="96"/>
        <v>5808.0661696163679</v>
      </c>
      <c r="O71" s="58">
        <f t="shared" si="96"/>
        <v>5942.7099208512891</v>
      </c>
      <c r="P71" s="58">
        <f t="shared" si="96"/>
        <v>6066.736520028564</v>
      </c>
    </row>
    <row r="72" spans="1:16" x14ac:dyDescent="0.2">
      <c r="A72" s="3" t="s">
        <v>68</v>
      </c>
      <c r="B72" s="17">
        <f>B71/B45</f>
        <v>0.4797093332969089</v>
      </c>
      <c r="C72" s="17">
        <f>C71/C45</f>
        <v>0.50660264105642261</v>
      </c>
      <c r="D72" s="17">
        <f t="shared" ref="D72:P72" si="97">D71/D45</f>
        <v>0.50643173977328726</v>
      </c>
      <c r="E72" s="17">
        <f t="shared" si="97"/>
        <v>0.51707317073170733</v>
      </c>
      <c r="F72" s="17">
        <f t="shared" si="97"/>
        <v>0.52439378286457183</v>
      </c>
      <c r="G72" s="17">
        <f t="shared" si="97"/>
        <v>0.52432346639155614</v>
      </c>
      <c r="H72" s="17">
        <f t="shared" si="97"/>
        <v>0.51467321160315682</v>
      </c>
      <c r="I72" s="17">
        <f t="shared" si="97"/>
        <v>0.50696661245959573</v>
      </c>
      <c r="J72" s="17">
        <f t="shared" si="97"/>
        <v>0.51998785349750709</v>
      </c>
      <c r="K72" s="17">
        <f t="shared" si="97"/>
        <v>0.50785456321192723</v>
      </c>
      <c r="L72" s="17">
        <f t="shared" si="97"/>
        <v>0.50860770614539741</v>
      </c>
      <c r="M72" s="17">
        <f t="shared" si="97"/>
        <v>0.50927226018030103</v>
      </c>
      <c r="N72" s="17">
        <f t="shared" si="97"/>
        <v>0.50978725612069797</v>
      </c>
      <c r="O72" s="17">
        <f t="shared" si="97"/>
        <v>0.51020944602292762</v>
      </c>
      <c r="P72" s="17">
        <f t="shared" si="97"/>
        <v>0.51056601806437385</v>
      </c>
    </row>
    <row r="74" spans="1:16" x14ac:dyDescent="0.2">
      <c r="A74" t="s">
        <v>358</v>
      </c>
      <c r="K74" s="22">
        <f t="shared" ref="K74:P74" si="98">K71-K65</f>
        <v>4883.4009659533131</v>
      </c>
      <c r="L74" s="22">
        <f t="shared" si="98"/>
        <v>5042.7052668398064</v>
      </c>
      <c r="M74" s="22">
        <f t="shared" si="98"/>
        <v>5174.3349343621785</v>
      </c>
      <c r="N74" s="22">
        <f t="shared" si="98"/>
        <v>5305.4115391778469</v>
      </c>
      <c r="O74" s="22">
        <f t="shared" si="98"/>
        <v>5429.2708055521189</v>
      </c>
      <c r="P74" s="22">
        <f t="shared" si="98"/>
        <v>5543.3291218535178</v>
      </c>
    </row>
    <row r="75" spans="1:16" x14ac:dyDescent="0.2">
      <c r="K75" s="17">
        <f>K74/K45</f>
        <v>0.46356147390100078</v>
      </c>
      <c r="L75" s="17">
        <f t="shared" ref="L75:P75" si="99">L74/L45</f>
        <v>0.46438239969848316</v>
      </c>
      <c r="M75" s="17">
        <f t="shared" si="99"/>
        <v>0.46510676359652819</v>
      </c>
      <c r="N75" s="17">
        <f t="shared" si="99"/>
        <v>0.46566810917156071</v>
      </c>
      <c r="O75" s="17">
        <f t="shared" si="99"/>
        <v>0.46612829616499107</v>
      </c>
      <c r="P75" s="17">
        <f t="shared" si="99"/>
        <v>0.46651695969016754</v>
      </c>
    </row>
    <row r="78" spans="1:16" x14ac:dyDescent="0.2">
      <c r="A78" t="s">
        <v>133</v>
      </c>
      <c r="B78" s="11">
        <v>-1392.4</v>
      </c>
      <c r="C78" s="11">
        <v>-1532.7</v>
      </c>
      <c r="D78" s="11">
        <v>-1668.1</v>
      </c>
      <c r="E78" s="11">
        <v>-1621.8</v>
      </c>
      <c r="F78" s="11">
        <v>-1665.1</v>
      </c>
      <c r="G78" s="11">
        <v>-1709.7</v>
      </c>
      <c r="H78" s="11">
        <v>-1926.1</v>
      </c>
      <c r="I78" s="11">
        <v>-1847.8</v>
      </c>
      <c r="J78" s="11">
        <v>-1950</v>
      </c>
      <c r="K78" s="11">
        <f>-K79*K45</f>
        <v>-2054.2328083206148</v>
      </c>
      <c r="L78" s="11">
        <f t="shared" ref="L78:P78" si="100">-L79*L45</f>
        <v>-2117.4952532055968</v>
      </c>
      <c r="M78" s="11">
        <f t="shared" si="100"/>
        <v>-2169.3843030756489</v>
      </c>
      <c r="N78" s="11">
        <f t="shared" si="100"/>
        <v>-2221.6579356919865</v>
      </c>
      <c r="O78" s="11">
        <f t="shared" si="100"/>
        <v>-2271.2798510475372</v>
      </c>
      <c r="P78" s="11">
        <f t="shared" si="100"/>
        <v>-2317.0629841181708</v>
      </c>
    </row>
    <row r="79" spans="1:16" x14ac:dyDescent="0.2">
      <c r="B79" s="20">
        <f>-B78/B45</f>
        <v>0.19018999877067655</v>
      </c>
      <c r="C79" s="20">
        <f t="shared" ref="C79:J79" si="101">-C78/C45</f>
        <v>0.20219516377979765</v>
      </c>
      <c r="D79" s="20">
        <f t="shared" si="101"/>
        <v>0.20553228191227205</v>
      </c>
      <c r="E79" s="20">
        <f t="shared" si="101"/>
        <v>0.19437885779349193</v>
      </c>
      <c r="F79" s="20">
        <f t="shared" si="101"/>
        <v>0.19328140779347405</v>
      </c>
      <c r="G79" s="20">
        <f t="shared" si="101"/>
        <v>0.19382815422812247</v>
      </c>
      <c r="H79" s="20">
        <f t="shared" si="101"/>
        <v>0.2037640437551573</v>
      </c>
      <c r="I79" s="20">
        <f t="shared" si="101"/>
        <v>0.18548856632335523</v>
      </c>
      <c r="J79" s="20">
        <f t="shared" si="101"/>
        <v>0.19101354726850631</v>
      </c>
      <c r="K79" s="20">
        <v>0.19500000000000001</v>
      </c>
      <c r="L79" s="20">
        <v>0.19500000000000001</v>
      </c>
      <c r="M79" s="20">
        <v>0.19500000000000001</v>
      </c>
      <c r="N79" s="20">
        <v>0.19500000000000001</v>
      </c>
      <c r="O79" s="20">
        <v>0.19500000000000001</v>
      </c>
      <c r="P79" s="20">
        <v>0.19500000000000001</v>
      </c>
    </row>
    <row r="80" spans="1:16" x14ac:dyDescent="0.2"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</row>
    <row r="81" spans="1:16" x14ac:dyDescent="0.2">
      <c r="A81" s="28" t="s">
        <v>168</v>
      </c>
      <c r="B81" s="11">
        <v>0</v>
      </c>
      <c r="C81" s="11">
        <v>0</v>
      </c>
      <c r="D81" s="11">
        <v>0</v>
      </c>
      <c r="E81" s="11">
        <v>0</v>
      </c>
      <c r="F81" s="11">
        <v>0</v>
      </c>
      <c r="G81" s="11">
        <v>-665.9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1">
        <v>0</v>
      </c>
    </row>
    <row r="82" spans="1:16" x14ac:dyDescent="0.2">
      <c r="A82" s="28" t="s">
        <v>134</v>
      </c>
      <c r="B82" s="11">
        <v>0</v>
      </c>
      <c r="C82" s="11">
        <v>0</v>
      </c>
      <c r="D82" s="11">
        <v>0</v>
      </c>
      <c r="E82" s="11">
        <v>-449.7</v>
      </c>
      <c r="F82" s="11">
        <v>-24</v>
      </c>
      <c r="G82" s="11">
        <v>0</v>
      </c>
      <c r="H82" s="11">
        <v>0</v>
      </c>
      <c r="I82" s="11">
        <v>0</v>
      </c>
      <c r="J82" s="11">
        <v>-2797.7</v>
      </c>
      <c r="K82" s="11">
        <v>0</v>
      </c>
      <c r="L82" s="11">
        <v>0</v>
      </c>
      <c r="M82" s="11">
        <v>0</v>
      </c>
      <c r="N82" s="11">
        <v>0</v>
      </c>
      <c r="O82" s="11">
        <v>0</v>
      </c>
      <c r="P82" s="11">
        <v>0</v>
      </c>
    </row>
    <row r="83" spans="1:16" x14ac:dyDescent="0.2">
      <c r="A83" s="28" t="s">
        <v>135</v>
      </c>
      <c r="B83" s="11">
        <v>0</v>
      </c>
      <c r="C83" s="11">
        <v>0</v>
      </c>
      <c r="D83" s="11">
        <v>0</v>
      </c>
      <c r="E83" s="11">
        <v>0</v>
      </c>
      <c r="F83" s="11"/>
      <c r="G83" s="11">
        <v>0</v>
      </c>
      <c r="H83" s="11">
        <v>0</v>
      </c>
      <c r="I83" s="11">
        <v>0</v>
      </c>
      <c r="J83" s="11">
        <v>-478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</row>
    <row r="84" spans="1:16" x14ac:dyDescent="0.2">
      <c r="A84" s="28" t="s">
        <v>136</v>
      </c>
      <c r="B84" s="11">
        <v>262.39999999999998</v>
      </c>
      <c r="C84" s="11">
        <v>0</v>
      </c>
      <c r="D84" s="11">
        <v>0</v>
      </c>
      <c r="E84" s="11">
        <v>74.099999999999994</v>
      </c>
      <c r="F84" s="11">
        <v>14.2</v>
      </c>
      <c r="G84" s="11">
        <v>0</v>
      </c>
      <c r="H84" s="11">
        <v>0</v>
      </c>
      <c r="I84" s="11">
        <v>0</v>
      </c>
      <c r="J84" s="11">
        <v>266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</row>
    <row r="85" spans="1:16" x14ac:dyDescent="0.2">
      <c r="A85" s="2" t="s">
        <v>137</v>
      </c>
      <c r="B85" s="30">
        <f>SUM(B71,B78,B81:B84)</f>
        <v>2382</v>
      </c>
      <c r="C85" s="30">
        <f t="shared" ref="C85:I85" si="102">SUM(C71,C78,C81:C84)</f>
        <v>2307.5</v>
      </c>
      <c r="D85" s="30">
        <f t="shared" si="102"/>
        <v>2442.1</v>
      </c>
      <c r="E85" s="30">
        <f t="shared" si="102"/>
        <v>2316.7999999999997</v>
      </c>
      <c r="F85" s="30">
        <f t="shared" si="102"/>
        <v>2842.7000000000003</v>
      </c>
      <c r="G85" s="30">
        <f t="shared" si="102"/>
        <v>2249.2999999999997</v>
      </c>
      <c r="H85" s="30">
        <f t="shared" si="102"/>
        <v>2938.9</v>
      </c>
      <c r="I85" s="30">
        <f t="shared" si="102"/>
        <v>3202.5</v>
      </c>
      <c r="J85" s="30">
        <f>SUM(J71,J78,J81:J84)</f>
        <v>348.70000000000073</v>
      </c>
      <c r="K85" s="30">
        <f>SUM(K71,K78,K81:K84)</f>
        <v>3295.7749127320849</v>
      </c>
      <c r="L85" s="30">
        <f t="shared" ref="L85" si="103">SUM(L71,L78,L81:L84)</f>
        <v>3405.450405802947</v>
      </c>
      <c r="M85" s="30">
        <f t="shared" ref="M85" si="104">SUM(M71,M78,M81:M84)</f>
        <v>3496.2938878320583</v>
      </c>
      <c r="N85" s="30">
        <f t="shared" ref="N85" si="105">SUM(N71,N78,N81:N84)</f>
        <v>3586.4082339243814</v>
      </c>
      <c r="O85" s="30">
        <f t="shared" ref="O85" si="106">SUM(O71,O78,O81:O84)</f>
        <v>3671.4300698037518</v>
      </c>
      <c r="P85" s="30">
        <f t="shared" ref="P85" si="107">SUM(P71,P78,P81:P84)</f>
        <v>3749.6735359103932</v>
      </c>
    </row>
    <row r="86" spans="1:16" x14ac:dyDescent="0.2">
      <c r="B86" s="20"/>
      <c r="C86" s="20"/>
      <c r="D86" s="20"/>
      <c r="E86" s="20"/>
      <c r="F86" s="20"/>
      <c r="G86" s="20"/>
      <c r="H86" s="20"/>
      <c r="I86" s="20"/>
      <c r="J86" s="20"/>
      <c r="K86" s="20">
        <f>K85/K45</f>
        <v>0.31285456321192728</v>
      </c>
      <c r="L86" s="20">
        <f t="shared" ref="L86:P86" si="108">L85/L45</f>
        <v>0.3136077061453974</v>
      </c>
      <c r="M86" s="20">
        <f t="shared" si="108"/>
        <v>0.31427226018030108</v>
      </c>
      <c r="N86" s="20">
        <f t="shared" si="108"/>
        <v>0.31478725612069791</v>
      </c>
      <c r="O86" s="20">
        <f t="shared" si="108"/>
        <v>0.31520944602292755</v>
      </c>
      <c r="P86" s="20">
        <f t="shared" si="108"/>
        <v>0.31556601806437384</v>
      </c>
    </row>
    <row r="87" spans="1:16" x14ac:dyDescent="0.2">
      <c r="A87" s="2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</row>
    <row r="88" spans="1:16" x14ac:dyDescent="0.2">
      <c r="A88" s="2" t="s">
        <v>334</v>
      </c>
      <c r="K88" s="18">
        <f>K85*(1-K89)</f>
        <v>2438.8734354217427</v>
      </c>
      <c r="L88" s="18">
        <f t="shared" ref="L88:P88" si="109">L85*(1-L89)</f>
        <v>2520.0333002941807</v>
      </c>
      <c r="M88" s="18">
        <f t="shared" si="109"/>
        <v>2587.2574769957232</v>
      </c>
      <c r="N88" s="18">
        <f t="shared" si="109"/>
        <v>2653.9420931040422</v>
      </c>
      <c r="O88" s="18">
        <f t="shared" si="109"/>
        <v>2716.8582516547763</v>
      </c>
      <c r="P88" s="18">
        <f t="shared" si="109"/>
        <v>2774.7584165736907</v>
      </c>
    </row>
    <row r="89" spans="1:16" x14ac:dyDescent="0.2">
      <c r="K89" s="17">
        <v>0.26</v>
      </c>
      <c r="L89" s="17">
        <v>0.26</v>
      </c>
      <c r="M89" s="17">
        <v>0.26</v>
      </c>
      <c r="N89" s="17">
        <v>0.26</v>
      </c>
      <c r="O89" s="17">
        <v>0.26</v>
      </c>
      <c r="P89" s="17">
        <v>0.26</v>
      </c>
    </row>
    <row r="90" spans="1:16" x14ac:dyDescent="0.2">
      <c r="C90" s="18"/>
    </row>
    <row r="91" spans="1:16" x14ac:dyDescent="0.2">
      <c r="A91" t="s">
        <v>335</v>
      </c>
      <c r="B91">
        <v>3230</v>
      </c>
      <c r="C91">
        <v>4789.7</v>
      </c>
      <c r="D91">
        <v>5267.3</v>
      </c>
      <c r="E91">
        <v>7757.1</v>
      </c>
      <c r="F91">
        <v>7793.5</v>
      </c>
      <c r="G91">
        <v>7925.4</v>
      </c>
      <c r="H91">
        <v>7980.3</v>
      </c>
      <c r="I91">
        <v>8055.2</v>
      </c>
      <c r="J91">
        <v>7409.8</v>
      </c>
      <c r="K91" s="18">
        <f>(J91-J93)-J99</f>
        <v>8178.2</v>
      </c>
      <c r="L91" s="18">
        <f t="shared" ref="L91:P91" si="110">(K91-K93)-K99</f>
        <v>8928.08799443727</v>
      </c>
      <c r="M91" s="18">
        <f t="shared" si="110"/>
        <v>9676.1680965236919</v>
      </c>
      <c r="N91" s="18">
        <f t="shared" si="110"/>
        <v>10354.927177191894</v>
      </c>
      <c r="O91" s="18">
        <f t="shared" si="110"/>
        <v>10968.232569951899</v>
      </c>
      <c r="P91" s="18">
        <f t="shared" si="110"/>
        <v>11518.319617618954</v>
      </c>
    </row>
    <row r="93" spans="1:16" x14ac:dyDescent="0.2">
      <c r="A93" t="s">
        <v>337</v>
      </c>
      <c r="B93" s="11">
        <v>-907.4</v>
      </c>
      <c r="C93" s="11">
        <v>-1057.5999999999999</v>
      </c>
      <c r="D93" s="11">
        <v>-886.3</v>
      </c>
      <c r="E93" s="11">
        <v>-726.5</v>
      </c>
      <c r="F93" s="11">
        <v>-864.6</v>
      </c>
      <c r="G93" s="11">
        <v>-1026.8</v>
      </c>
      <c r="H93" s="11">
        <v>-1035.4000000000001</v>
      </c>
      <c r="I93" s="11">
        <v>-1269.0999999999999</v>
      </c>
      <c r="J93" s="11">
        <v>-1214.0999999999999</v>
      </c>
      <c r="K93" s="22">
        <f>-K45*K94</f>
        <v>-1158.7979944372698</v>
      </c>
      <c r="L93" s="22">
        <f t="shared" ref="L93:P93" si="111">-L45*L94</f>
        <v>-1194.4845018082854</v>
      </c>
      <c r="M93" s="22">
        <f t="shared" si="111"/>
        <v>-1162.5674854943861</v>
      </c>
      <c r="N93" s="22">
        <f t="shared" si="111"/>
        <v>-1131.0517516195996</v>
      </c>
      <c r="O93" s="22">
        <f t="shared" si="111"/>
        <v>-1098.4986761646512</v>
      </c>
      <c r="P93" s="22">
        <f t="shared" si="111"/>
        <v>-1064.6094925275336</v>
      </c>
    </row>
    <row r="94" spans="1:16" x14ac:dyDescent="0.2">
      <c r="B94" s="17">
        <f>-B93/B45</f>
        <v>0.12394312330114327</v>
      </c>
      <c r="C94" s="17">
        <f t="shared" ref="C94:J94" si="112">-C93/C45</f>
        <v>0.13951954408136882</v>
      </c>
      <c r="D94" s="17">
        <f t="shared" si="112"/>
        <v>0.10920404139970429</v>
      </c>
      <c r="E94" s="17">
        <f t="shared" si="112"/>
        <v>8.7073770000599265E-2</v>
      </c>
      <c r="F94" s="17">
        <f t="shared" si="112"/>
        <v>0.1003610024492449</v>
      </c>
      <c r="G94" s="17">
        <f t="shared" si="112"/>
        <v>0.11640799483034225</v>
      </c>
      <c r="H94" s="17">
        <f t="shared" si="112"/>
        <v>0.1095360006770624</v>
      </c>
      <c r="I94" s="17">
        <f t="shared" si="112"/>
        <v>0.12739665522295168</v>
      </c>
      <c r="J94" s="17">
        <f t="shared" si="112"/>
        <v>0.11892797319932999</v>
      </c>
      <c r="K94" s="19">
        <f>0.11</f>
        <v>0.11</v>
      </c>
      <c r="L94" s="19">
        <f t="shared" ref="L94" si="113">0.11</f>
        <v>0.11</v>
      </c>
      <c r="M94" s="19">
        <f>0.95*(L94)</f>
        <v>0.1045</v>
      </c>
      <c r="N94" s="19">
        <f t="shared" ref="N94:P94" si="114">0.95*(M94)</f>
        <v>9.9274999999999988E-2</v>
      </c>
      <c r="O94" s="19">
        <f t="shared" si="114"/>
        <v>9.4311249999999985E-2</v>
      </c>
      <c r="P94" s="19">
        <f t="shared" si="114"/>
        <v>8.9595687499999979E-2</v>
      </c>
    </row>
    <row r="95" spans="1:16" x14ac:dyDescent="0.2">
      <c r="B95" s="17"/>
      <c r="C95" s="17"/>
      <c r="D95" s="17"/>
      <c r="E95" s="17"/>
      <c r="F95" s="17"/>
      <c r="G95" s="17"/>
      <c r="H95" s="17"/>
      <c r="I95" s="17"/>
      <c r="J95" s="17"/>
      <c r="K95" s="19"/>
      <c r="L95" s="19"/>
      <c r="M95" s="19"/>
      <c r="N95" s="19"/>
      <c r="O95" s="19"/>
      <c r="P95" s="19"/>
    </row>
    <row r="96" spans="1:16" x14ac:dyDescent="0.2">
      <c r="A96" t="s">
        <v>386</v>
      </c>
      <c r="B96" s="17"/>
      <c r="C96" s="17"/>
      <c r="D96" s="17"/>
      <c r="E96" s="17"/>
      <c r="F96" s="17"/>
      <c r="G96" s="17"/>
      <c r="H96" s="17"/>
      <c r="I96" s="17"/>
      <c r="J96" s="17"/>
      <c r="K96" s="11">
        <f>-K45*K97</f>
        <v>-210.69054444313997</v>
      </c>
      <c r="L96" s="11">
        <f t="shared" ref="L96:P96" si="115">-L45*L97</f>
        <v>-217.17900032877915</v>
      </c>
      <c r="M96" s="11">
        <f t="shared" si="115"/>
        <v>-222.50095416160502</v>
      </c>
      <c r="N96" s="11">
        <f t="shared" si="115"/>
        <v>-227.86235237866526</v>
      </c>
      <c r="O96" s="11">
        <f t="shared" si="115"/>
        <v>-232.95177959461918</v>
      </c>
      <c r="P96" s="11">
        <f t="shared" si="115"/>
        <v>-237.64748555058162</v>
      </c>
    </row>
    <row r="97" spans="1:17" x14ac:dyDescent="0.2">
      <c r="A97" t="s">
        <v>387</v>
      </c>
      <c r="B97" s="17"/>
      <c r="C97" s="17"/>
      <c r="D97" s="17"/>
      <c r="E97" s="17"/>
      <c r="F97" s="17"/>
      <c r="G97" s="17"/>
      <c r="H97" s="17"/>
      <c r="I97" s="17"/>
      <c r="J97" s="17"/>
      <c r="K97" s="19">
        <v>0.02</v>
      </c>
      <c r="L97" s="19">
        <v>0.02</v>
      </c>
      <c r="M97" s="19">
        <v>0.02</v>
      </c>
      <c r="N97" s="19">
        <v>0.02</v>
      </c>
      <c r="O97" s="19">
        <v>0.02</v>
      </c>
      <c r="P97" s="19">
        <v>0.02</v>
      </c>
    </row>
    <row r="99" spans="1:17" x14ac:dyDescent="0.2">
      <c r="A99" t="s">
        <v>336</v>
      </c>
      <c r="B99" s="11">
        <v>237.5</v>
      </c>
      <c r="C99" s="11">
        <v>293.8</v>
      </c>
      <c r="D99" s="11">
        <v>333.1</v>
      </c>
      <c r="E99" s="11">
        <v>326.5</v>
      </c>
      <c r="F99" s="11">
        <v>293.8</v>
      </c>
      <c r="G99" s="11">
        <v>337.3</v>
      </c>
      <c r="H99" s="11">
        <v>383.8</v>
      </c>
      <c r="I99" s="11">
        <v>427.9</v>
      </c>
      <c r="J99" s="11">
        <v>445.7</v>
      </c>
      <c r="K99" s="18">
        <f>K100*K91</f>
        <v>408.91</v>
      </c>
      <c r="L99" s="18">
        <f t="shared" ref="L99:P99" si="116">L100*L91</f>
        <v>446.40439972186351</v>
      </c>
      <c r="M99" s="18">
        <f t="shared" si="116"/>
        <v>483.80840482618464</v>
      </c>
      <c r="N99" s="18">
        <f t="shared" si="116"/>
        <v>517.74635885959469</v>
      </c>
      <c r="O99" s="18">
        <f t="shared" si="116"/>
        <v>548.41162849759496</v>
      </c>
      <c r="P99" s="18">
        <f t="shared" si="116"/>
        <v>575.9159808809477</v>
      </c>
    </row>
    <row r="100" spans="1:17" x14ac:dyDescent="0.2">
      <c r="B100" s="20">
        <f>B99/B91</f>
        <v>7.3529411764705885E-2</v>
      </c>
      <c r="C100" s="20">
        <f t="shared" ref="C100:J100" si="117">C99/C91</f>
        <v>6.1339958661294033E-2</v>
      </c>
      <c r="D100" s="20">
        <f t="shared" si="117"/>
        <v>6.3239230725419093E-2</v>
      </c>
      <c r="E100" s="20">
        <f t="shared" si="117"/>
        <v>4.2090471954725345E-2</v>
      </c>
      <c r="F100" s="20">
        <f t="shared" si="117"/>
        <v>3.7698081734778982E-2</v>
      </c>
      <c r="G100" s="20">
        <f t="shared" si="117"/>
        <v>4.2559366088777854E-2</v>
      </c>
      <c r="H100" s="20">
        <f t="shared" si="117"/>
        <v>4.8093430071551195E-2</v>
      </c>
      <c r="I100" s="20">
        <f t="shared" si="117"/>
        <v>5.3120965339159797E-2</v>
      </c>
      <c r="J100" s="20">
        <f t="shared" si="117"/>
        <v>6.015007152689681E-2</v>
      </c>
      <c r="K100" s="17">
        <v>0.05</v>
      </c>
      <c r="L100" s="17">
        <v>0.05</v>
      </c>
      <c r="M100" s="17">
        <v>0.05</v>
      </c>
      <c r="N100" s="17">
        <v>0.05</v>
      </c>
      <c r="O100" s="17">
        <v>0.05</v>
      </c>
      <c r="P100" s="17">
        <v>0.05</v>
      </c>
    </row>
    <row r="101" spans="1:17" ht="17" thickBot="1" x14ac:dyDescent="0.25">
      <c r="A101" t="s">
        <v>348</v>
      </c>
      <c r="K101" s="24">
        <v>2026</v>
      </c>
      <c r="L101" s="24">
        <v>2027</v>
      </c>
      <c r="M101" s="24">
        <v>2028</v>
      </c>
      <c r="N101" s="24">
        <v>2029</v>
      </c>
      <c r="O101" s="24">
        <v>2030</v>
      </c>
      <c r="P101" s="24">
        <v>2031</v>
      </c>
      <c r="Q101" s="24" t="s">
        <v>339</v>
      </c>
    </row>
    <row r="102" spans="1:17" x14ac:dyDescent="0.2">
      <c r="A102" t="s">
        <v>212</v>
      </c>
      <c r="K102" s="18">
        <f>K88+K99+K93+K96</f>
        <v>1478.2948965413327</v>
      </c>
      <c r="L102" s="18">
        <f>L88+L99+L93</f>
        <v>1771.953198207759</v>
      </c>
      <c r="M102" s="18">
        <f>M88+M99+M93</f>
        <v>1908.498396327522</v>
      </c>
      <c r="N102" s="18">
        <f>N88+N99+N93</f>
        <v>2040.6367003440373</v>
      </c>
      <c r="O102" s="18">
        <f>O88+O99+O93</f>
        <v>2166.7712039877197</v>
      </c>
      <c r="P102" s="18">
        <f>P88+P99+P93</f>
        <v>2286.0649049271051</v>
      </c>
      <c r="Q102" s="18">
        <f>P102*(1+$I$110)/($I$109-$I$110)</f>
        <v>45497.174088255124</v>
      </c>
    </row>
    <row r="103" spans="1:17" x14ac:dyDescent="0.2">
      <c r="A103" t="s">
        <v>347</v>
      </c>
      <c r="K103" s="17">
        <f>K102/K45</f>
        <v>0.14032854682192794</v>
      </c>
      <c r="L103" s="17">
        <f t="shared" ref="L103:P103" si="118">L102/L45</f>
        <v>0.16317905465309865</v>
      </c>
      <c r="M103" s="17">
        <f t="shared" si="118"/>
        <v>0.17154968197946313</v>
      </c>
      <c r="N103" s="17">
        <f t="shared" si="118"/>
        <v>0.17911135201069767</v>
      </c>
      <c r="O103" s="17">
        <f t="shared" si="118"/>
        <v>0.18602744377040756</v>
      </c>
      <c r="P103" s="17">
        <f t="shared" si="118"/>
        <v>0.1923912554454974</v>
      </c>
    </row>
    <row r="104" spans="1:17" x14ac:dyDescent="0.2">
      <c r="K104" s="17"/>
      <c r="L104" s="17"/>
      <c r="M104" s="17"/>
      <c r="N104" s="17"/>
      <c r="O104" s="17"/>
      <c r="P104" s="17"/>
    </row>
    <row r="105" spans="1:17" x14ac:dyDescent="0.2">
      <c r="A105" t="s">
        <v>359</v>
      </c>
      <c r="K105" s="61">
        <f>K102-K65</f>
        <v>1011.6881414419458</v>
      </c>
      <c r="L105" s="61">
        <f t="shared" ref="L105:P105" si="119">L102-L65</f>
        <v>1291.7128060390219</v>
      </c>
      <c r="M105" s="61">
        <f t="shared" si="119"/>
        <v>1417.1551397819931</v>
      </c>
      <c r="N105" s="61">
        <f t="shared" si="119"/>
        <v>1537.9820699055167</v>
      </c>
      <c r="O105" s="61">
        <f t="shared" si="119"/>
        <v>1653.3320886885494</v>
      </c>
      <c r="P105" s="61">
        <f t="shared" si="119"/>
        <v>1762.6575067520585</v>
      </c>
      <c r="Q105" s="18">
        <f>P105*(1+$I$110)/($I$109-$I$110)</f>
        <v>35080.340575555667</v>
      </c>
    </row>
    <row r="106" spans="1:17" x14ac:dyDescent="0.2">
      <c r="K106" s="17">
        <f>K105/K49</f>
        <v>8.9025313243569174E-2</v>
      </c>
      <c r="L106" s="17">
        <f t="shared" ref="L106:P106" si="120">L105/L49</f>
        <v>0.11028299405842105</v>
      </c>
      <c r="M106" s="17">
        <f t="shared" si="120"/>
        <v>0.1181105645344399</v>
      </c>
      <c r="N106" s="17">
        <f t="shared" si="120"/>
        <v>0.1251742806487684</v>
      </c>
      <c r="O106" s="17">
        <f t="shared" si="120"/>
        <v>0.13163084666324515</v>
      </c>
      <c r="P106" s="17">
        <f t="shared" si="120"/>
        <v>0.1375692282438957</v>
      </c>
    </row>
    <row r="108" spans="1:17" x14ac:dyDescent="0.2">
      <c r="K108">
        <v>1</v>
      </c>
      <c r="L108">
        <v>2</v>
      </c>
      <c r="M108">
        <v>3</v>
      </c>
      <c r="N108">
        <v>4</v>
      </c>
      <c r="O108">
        <v>5</v>
      </c>
      <c r="P108">
        <v>6</v>
      </c>
      <c r="Q108">
        <v>6</v>
      </c>
    </row>
    <row r="109" spans="1:17" x14ac:dyDescent="0.2">
      <c r="H109" t="s">
        <v>254</v>
      </c>
      <c r="I109" s="20">
        <v>6.6000000000000003E-2</v>
      </c>
      <c r="J109" t="s">
        <v>379</v>
      </c>
      <c r="K109" s="18">
        <f>K102/(1+$I$109)^K108</f>
        <v>1386.7681956297679</v>
      </c>
      <c r="L109" s="18">
        <f t="shared" ref="L109:Q109" si="121">L102/(1+$I$109)^L108</f>
        <v>1559.3292931156775</v>
      </c>
      <c r="M109" s="18">
        <f t="shared" si="121"/>
        <v>1575.506449287222</v>
      </c>
      <c r="N109" s="18">
        <f t="shared" si="121"/>
        <v>1580.2902997766876</v>
      </c>
      <c r="O109" s="18">
        <f t="shared" si="121"/>
        <v>1574.0808369713222</v>
      </c>
      <c r="P109" s="18">
        <f>P102/(1+$I$109)^P108</f>
        <v>1557.9206303593323</v>
      </c>
      <c r="Q109" s="18">
        <f t="shared" si="121"/>
        <v>31005.675290484745</v>
      </c>
    </row>
    <row r="110" spans="1:17" x14ac:dyDescent="0.2">
      <c r="H110" t="s">
        <v>340</v>
      </c>
      <c r="I110" s="25">
        <v>1.4999999999999999E-2</v>
      </c>
    </row>
    <row r="111" spans="1:17" x14ac:dyDescent="0.2">
      <c r="G111" t="s">
        <v>370</v>
      </c>
      <c r="H111" t="s">
        <v>338</v>
      </c>
      <c r="I111" s="18">
        <f>SUM(K109:P109)</f>
        <v>9233.8957051400103</v>
      </c>
    </row>
    <row r="112" spans="1:17" x14ac:dyDescent="0.2">
      <c r="H112" t="s">
        <v>349</v>
      </c>
      <c r="I112" s="18">
        <f>Q109</f>
        <v>31005.675290484745</v>
      </c>
      <c r="K112">
        <v>1</v>
      </c>
      <c r="L112">
        <v>2</v>
      </c>
      <c r="M112">
        <v>3</v>
      </c>
      <c r="N112">
        <v>4</v>
      </c>
      <c r="O112">
        <v>5</v>
      </c>
      <c r="P112">
        <v>6</v>
      </c>
      <c r="Q112">
        <v>6</v>
      </c>
    </row>
    <row r="113" spans="7:17" x14ac:dyDescent="0.2">
      <c r="H113" t="s">
        <v>342</v>
      </c>
      <c r="I113" s="18">
        <f>SUM(I111:I112)</f>
        <v>40239.570995624759</v>
      </c>
      <c r="J113" t="s">
        <v>380</v>
      </c>
      <c r="K113" s="18">
        <f>K105/(1+$I$109)^K112</f>
        <v>949.05078934516496</v>
      </c>
      <c r="L113" s="18">
        <f t="shared" ref="K113:Q113" si="122">L105/(1+$I$109)^L112</f>
        <v>1136.7149080385211</v>
      </c>
      <c r="M113" s="18">
        <f t="shared" si="122"/>
        <v>1169.8920295995363</v>
      </c>
      <c r="N113" s="18">
        <f t="shared" si="122"/>
        <v>1191.0293223151386</v>
      </c>
      <c r="O113" s="18">
        <f t="shared" si="122"/>
        <v>1201.085907531364</v>
      </c>
      <c r="P113" s="18">
        <f t="shared" si="122"/>
        <v>1201.2259529938146</v>
      </c>
      <c r="Q113" s="18">
        <f>Q105/(1+$I$109)^Q112</f>
        <v>23906.751809582776</v>
      </c>
    </row>
    <row r="114" spans="7:17" x14ac:dyDescent="0.2">
      <c r="H114" t="s">
        <v>341</v>
      </c>
      <c r="I114">
        <v>177.99100000000001</v>
      </c>
      <c r="J114" t="s">
        <v>355</v>
      </c>
    </row>
    <row r="115" spans="7:17" x14ac:dyDescent="0.2">
      <c r="H115" t="s">
        <v>343</v>
      </c>
      <c r="I115" s="7">
        <f>I113/I114</f>
        <v>226.07643642445268</v>
      </c>
    </row>
    <row r="116" spans="7:17" x14ac:dyDescent="0.2">
      <c r="H116" t="s">
        <v>344</v>
      </c>
      <c r="I116" s="7">
        <v>140.41</v>
      </c>
    </row>
    <row r="118" spans="7:17" x14ac:dyDescent="0.2">
      <c r="H118" t="s">
        <v>345</v>
      </c>
      <c r="I118" s="17">
        <f>(I115-I116)/I116</f>
        <v>0.61011634801262504</v>
      </c>
    </row>
    <row r="120" spans="7:17" ht="19" thickBot="1" x14ac:dyDescent="0.3">
      <c r="L120" s="65" t="s">
        <v>363</v>
      </c>
      <c r="M120" s="65"/>
      <c r="N120" s="65"/>
      <c r="O120" s="65"/>
    </row>
    <row r="121" spans="7:17" ht="17" thickTop="1" x14ac:dyDescent="0.2">
      <c r="G121" t="s">
        <v>370</v>
      </c>
      <c r="H121" t="s">
        <v>360</v>
      </c>
      <c r="I121" t="s">
        <v>364</v>
      </c>
      <c r="L121" t="s">
        <v>370</v>
      </c>
      <c r="M121" t="s">
        <v>369</v>
      </c>
      <c r="N121" s="7">
        <f>I115</f>
        <v>226.07643642445268</v>
      </c>
      <c r="O121" s="17">
        <f>0.45</f>
        <v>0.45</v>
      </c>
    </row>
    <row r="122" spans="7:17" x14ac:dyDescent="0.2">
      <c r="H122" s="18" t="s">
        <v>354</v>
      </c>
      <c r="I122" s="18">
        <f>SUM(K113:P113)</f>
        <v>6848.9989098235392</v>
      </c>
      <c r="L122" t="s">
        <v>370</v>
      </c>
      <c r="M122" t="s">
        <v>365</v>
      </c>
      <c r="N122" s="7">
        <f>I126</f>
        <v>172.7938531690159</v>
      </c>
      <c r="O122" s="17">
        <v>0.25</v>
      </c>
    </row>
    <row r="123" spans="7:17" x14ac:dyDescent="0.2">
      <c r="H123" t="s">
        <v>361</v>
      </c>
      <c r="I123" s="18">
        <f>Q113</f>
        <v>23906.751809582776</v>
      </c>
      <c r="L123" t="s">
        <v>371</v>
      </c>
      <c r="M123" t="s">
        <v>365</v>
      </c>
      <c r="N123" s="7">
        <f>I135</f>
        <v>263.8023610750032</v>
      </c>
      <c r="O123" s="17">
        <v>0.15</v>
      </c>
    </row>
    <row r="124" spans="7:17" x14ac:dyDescent="0.2">
      <c r="H124" t="s">
        <v>342</v>
      </c>
      <c r="I124" s="18">
        <f>SUM(I122:I123)</f>
        <v>30755.750719406315</v>
      </c>
      <c r="L124" t="s">
        <v>373</v>
      </c>
      <c r="M124" s="22" t="s">
        <v>369</v>
      </c>
      <c r="N124" s="7">
        <f>I144</f>
        <v>344.10921090088624</v>
      </c>
      <c r="O124" s="17">
        <v>0.15</v>
      </c>
    </row>
    <row r="125" spans="7:17" x14ac:dyDescent="0.2">
      <c r="H125" t="s">
        <v>6</v>
      </c>
      <c r="I125" s="62">
        <f>I114</f>
        <v>177.99100000000001</v>
      </c>
      <c r="L125" s="66" t="s">
        <v>378</v>
      </c>
      <c r="M125" s="66"/>
      <c r="N125" s="22">
        <f>N121*O121+N122*O122+N123*O123+N124*O124</f>
        <v>236.11959547964108</v>
      </c>
      <c r="O125" s="19">
        <f>SUM(O121:O124)</f>
        <v>1</v>
      </c>
    </row>
    <row r="126" spans="7:17" x14ac:dyDescent="0.2">
      <c r="H126" t="s">
        <v>343</v>
      </c>
      <c r="I126">
        <f>I124/I125</f>
        <v>172.7938531690159</v>
      </c>
      <c r="M126" t="s">
        <v>345</v>
      </c>
      <c r="N126" s="17">
        <f>(N125-I116)/I116</f>
        <v>0.68164372537312934</v>
      </c>
    </row>
    <row r="127" spans="7:17" x14ac:dyDescent="0.2">
      <c r="H127" t="s">
        <v>345</v>
      </c>
      <c r="I127" s="17">
        <f>(I126-$I$116)/$I$116</f>
        <v>0.23063779765697534</v>
      </c>
    </row>
    <row r="128" spans="7:17" x14ac:dyDescent="0.2">
      <c r="O128" t="s">
        <v>372</v>
      </c>
      <c r="P128" s="18" t="s">
        <v>375</v>
      </c>
      <c r="Q128" t="s">
        <v>339</v>
      </c>
    </row>
    <row r="129" spans="7:17" x14ac:dyDescent="0.2">
      <c r="G129" t="s">
        <v>372</v>
      </c>
      <c r="H129" t="s">
        <v>365</v>
      </c>
      <c r="I129" s="20">
        <v>0.1</v>
      </c>
      <c r="P129" s="18"/>
      <c r="Q129" s="18">
        <f>P105*(1+$I$130)/($I$109-$I$130)</f>
        <v>58850.016757689686</v>
      </c>
    </row>
    <row r="130" spans="7:17" x14ac:dyDescent="0.2">
      <c r="H130" t="s">
        <v>340</v>
      </c>
      <c r="I130" s="20">
        <v>3.5000000000000003E-2</v>
      </c>
    </row>
    <row r="131" spans="7:17" x14ac:dyDescent="0.2">
      <c r="H131" t="s">
        <v>354</v>
      </c>
      <c r="I131" s="18">
        <f>SUM(K113:P113)</f>
        <v>6848.9989098235392</v>
      </c>
    </row>
    <row r="132" spans="7:17" x14ac:dyDescent="0.2">
      <c r="H132" t="s">
        <v>361</v>
      </c>
      <c r="I132" s="18">
        <f>Q133</f>
        <v>40105.447140277356</v>
      </c>
      <c r="P132" t="s">
        <v>376</v>
      </c>
      <c r="Q132">
        <v>6</v>
      </c>
    </row>
    <row r="133" spans="7:17" x14ac:dyDescent="0.2">
      <c r="H133" t="s">
        <v>374</v>
      </c>
      <c r="I133" s="18">
        <f>SUM(I131:I132)</f>
        <v>46954.446050100894</v>
      </c>
      <c r="Q133" s="18">
        <f>Q129/(1+$I$109)^Q132</f>
        <v>40105.447140277356</v>
      </c>
    </row>
    <row r="134" spans="7:17" x14ac:dyDescent="0.2">
      <c r="H134" t="s">
        <v>341</v>
      </c>
      <c r="I134" s="62">
        <f>I125</f>
        <v>177.99100000000001</v>
      </c>
    </row>
    <row r="135" spans="7:17" x14ac:dyDescent="0.2">
      <c r="H135" t="s">
        <v>362</v>
      </c>
      <c r="I135" s="18">
        <f>I133/I134</f>
        <v>263.8023610750032</v>
      </c>
    </row>
    <row r="136" spans="7:17" x14ac:dyDescent="0.2">
      <c r="H136" t="s">
        <v>345</v>
      </c>
      <c r="I136" s="17">
        <f>(I135-$I$116)/$I$116</f>
        <v>0.87880037800016531</v>
      </c>
    </row>
    <row r="139" spans="7:17" x14ac:dyDescent="0.2">
      <c r="G139" t="s">
        <v>377</v>
      </c>
      <c r="H139" t="s">
        <v>369</v>
      </c>
      <c r="I139" s="17">
        <v>0.1</v>
      </c>
      <c r="O139" t="s">
        <v>377</v>
      </c>
      <c r="P139" t="s">
        <v>369</v>
      </c>
      <c r="Q139" t="s">
        <v>339</v>
      </c>
    </row>
    <row r="140" spans="7:17" x14ac:dyDescent="0.2">
      <c r="H140" t="s">
        <v>354</v>
      </c>
      <c r="I140" s="18">
        <f>SUM(K109:P109)</f>
        <v>9233.8957051400103</v>
      </c>
      <c r="Q140" s="18">
        <f>P102*(1+$I$130)/($I$109-$I$130)</f>
        <v>76325.070212888822</v>
      </c>
    </row>
    <row r="141" spans="7:17" x14ac:dyDescent="0.2">
      <c r="H141" t="s">
        <v>361</v>
      </c>
      <c r="I141" s="18">
        <f>Q144</f>
        <v>52014.446852319634</v>
      </c>
    </row>
    <row r="142" spans="7:17" x14ac:dyDescent="0.2">
      <c r="H142" t="s">
        <v>342</v>
      </c>
      <c r="I142" s="18">
        <f>SUM(I140:I141)</f>
        <v>61248.342557459648</v>
      </c>
    </row>
    <row r="143" spans="7:17" x14ac:dyDescent="0.2">
      <c r="H143" t="s">
        <v>6</v>
      </c>
      <c r="I143">
        <f>I134</f>
        <v>177.99100000000001</v>
      </c>
      <c r="P143" t="s">
        <v>383</v>
      </c>
      <c r="Q143">
        <v>6</v>
      </c>
    </row>
    <row r="144" spans="7:17" x14ac:dyDescent="0.2">
      <c r="H144" t="s">
        <v>362</v>
      </c>
      <c r="I144" s="18">
        <f>I142/I143</f>
        <v>344.10921090088624</v>
      </c>
      <c r="Q144" s="18">
        <f>Q140/(1+$I$109)^Q143</f>
        <v>52014.446852319634</v>
      </c>
    </row>
    <row r="145" spans="8:9" x14ac:dyDescent="0.2">
      <c r="H145" t="s">
        <v>345</v>
      </c>
      <c r="I145" s="17">
        <f>(I144-$I$116)/$I$116</f>
        <v>1.4507457510211967</v>
      </c>
    </row>
  </sheetData>
  <mergeCells count="2">
    <mergeCell ref="L120:O120"/>
    <mergeCell ref="L125:M1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69DF3B-EC52-488B-864E-CB70B40082FD}">
  <dimension ref="C3:S46"/>
  <sheetViews>
    <sheetView topLeftCell="A19" workbookViewId="0">
      <selection activeCell="M38" sqref="M38"/>
    </sheetView>
    <sheetView workbookViewId="1">
      <selection activeCell="N22" sqref="N22"/>
    </sheetView>
  </sheetViews>
  <sheetFormatPr baseColWidth="10" defaultColWidth="8.83203125" defaultRowHeight="16" x14ac:dyDescent="0.2"/>
  <cols>
    <col min="5" max="5" width="11" bestFit="1" customWidth="1"/>
    <col min="6" max="6" width="12.83203125" customWidth="1"/>
    <col min="10" max="10" width="19.5" customWidth="1"/>
    <col min="11" max="11" width="17.83203125" customWidth="1"/>
    <col min="12" max="12" width="14.83203125" customWidth="1"/>
    <col min="13" max="13" width="13.83203125" customWidth="1"/>
    <col min="14" max="14" width="23.6640625" customWidth="1"/>
  </cols>
  <sheetData>
    <row r="3" spans="3:19" ht="17" thickBot="1" x14ac:dyDescent="0.25">
      <c r="C3" t="s">
        <v>250</v>
      </c>
    </row>
    <row r="4" spans="3:19" ht="17" thickBot="1" x14ac:dyDescent="0.25">
      <c r="J4" s="42" t="s">
        <v>261</v>
      </c>
      <c r="K4" s="42" t="s">
        <v>262</v>
      </c>
      <c r="L4" s="42" t="s">
        <v>263</v>
      </c>
      <c r="M4" s="42" t="s">
        <v>264</v>
      </c>
      <c r="N4" s="43" t="s">
        <v>265</v>
      </c>
      <c r="Q4" t="s">
        <v>352</v>
      </c>
      <c r="S4" s="17">
        <v>5.1700000000000003E-2</v>
      </c>
    </row>
    <row r="5" spans="3:19" ht="15" customHeight="1" thickBot="1" x14ac:dyDescent="0.25">
      <c r="C5" t="s">
        <v>240</v>
      </c>
      <c r="E5" t="s">
        <v>247</v>
      </c>
      <c r="J5" s="42" t="s">
        <v>266</v>
      </c>
      <c r="K5" s="45">
        <v>400</v>
      </c>
      <c r="L5" s="47">
        <v>4.7500000000000001E-2</v>
      </c>
      <c r="M5" s="48">
        <v>45992</v>
      </c>
      <c r="N5" s="59">
        <f>-PV($S$4,YEARFRAC($R$5,M5,0),L5*K5,K5)</f>
        <v>399.73265369010721</v>
      </c>
      <c r="Q5" t="s">
        <v>353</v>
      </c>
      <c r="R5" s="1">
        <f>DATE(2025,10,2)</f>
        <v>45932</v>
      </c>
    </row>
    <row r="6" spans="3:19" ht="15" customHeight="1" thickBot="1" x14ac:dyDescent="0.25">
      <c r="C6" t="s">
        <v>241</v>
      </c>
      <c r="D6" t="s">
        <v>244</v>
      </c>
      <c r="E6" s="25">
        <f>E7*0.8+G6*0.2</f>
        <v>5.1660000000000005E-2</v>
      </c>
      <c r="F6" t="s">
        <v>248</v>
      </c>
      <c r="G6" s="25">
        <v>5.79E-2</v>
      </c>
      <c r="J6" s="42" t="s">
        <v>267</v>
      </c>
      <c r="K6" s="45">
        <v>600</v>
      </c>
      <c r="L6" s="47">
        <v>3.6999999999999998E-2</v>
      </c>
      <c r="M6" s="48">
        <v>46357</v>
      </c>
      <c r="N6" s="59">
        <f>-PV($S$4,YEARFRAC($R$5,M6,0),L6*K6,K6)</f>
        <v>590.27900720078242</v>
      </c>
    </row>
    <row r="7" spans="3:19" ht="15" customHeight="1" thickBot="1" x14ac:dyDescent="0.25">
      <c r="C7" t="s">
        <v>242</v>
      </c>
      <c r="D7" t="s">
        <v>243</v>
      </c>
      <c r="E7" s="25">
        <v>5.0099999999999999E-2</v>
      </c>
      <c r="J7" s="42" t="s">
        <v>268</v>
      </c>
      <c r="K7" s="45">
        <v>500</v>
      </c>
      <c r="L7" s="47">
        <v>4.4999999999999998E-2</v>
      </c>
      <c r="M7" s="48">
        <v>46508</v>
      </c>
      <c r="N7" s="59">
        <f>-PV($S$4,YEARFRAC($R$5,M7,0),L7*K7,K7)</f>
        <v>495.0377704051088</v>
      </c>
    </row>
    <row r="8" spans="3:19" ht="15" customHeight="1" thickBot="1" x14ac:dyDescent="0.25">
      <c r="C8" t="s">
        <v>255</v>
      </c>
      <c r="J8" s="42" t="s">
        <v>269</v>
      </c>
      <c r="K8" s="45">
        <v>700</v>
      </c>
      <c r="L8" s="47">
        <v>3.5999999999999997E-2</v>
      </c>
      <c r="M8" s="48">
        <v>53813</v>
      </c>
      <c r="N8" s="59">
        <f>-PV($S$4,YEARFRAC($R$5,M8,0),L8*K8,K8)</f>
        <v>559.05307851585826</v>
      </c>
    </row>
    <row r="9" spans="3:19" ht="15" customHeight="1" thickBot="1" x14ac:dyDescent="0.25">
      <c r="C9" t="s">
        <v>256</v>
      </c>
      <c r="E9">
        <v>0.67</v>
      </c>
      <c r="F9" t="s">
        <v>308</v>
      </c>
      <c r="J9" s="42" t="s">
        <v>270</v>
      </c>
      <c r="K9" s="45">
        <v>600</v>
      </c>
      <c r="L9" s="47">
        <v>4.1000000000000002E-2</v>
      </c>
      <c r="M9" s="48">
        <v>46784</v>
      </c>
      <c r="N9" s="59">
        <f t="shared" ref="N9:N19" si="0">-PV($S$4,YEARFRAC($R$5,M9,0),L9*K9,K9)</f>
        <v>586.23607904800349</v>
      </c>
    </row>
    <row r="10" spans="3:19" ht="15" customHeight="1" thickBot="1" x14ac:dyDescent="0.25">
      <c r="C10" t="s">
        <v>249</v>
      </c>
      <c r="E10">
        <v>0.5</v>
      </c>
      <c r="J10" s="42" t="s">
        <v>271</v>
      </c>
      <c r="K10" s="45">
        <v>500</v>
      </c>
      <c r="L10" s="47">
        <v>4.3999999999999997E-2</v>
      </c>
      <c r="M10" s="48">
        <v>45962</v>
      </c>
      <c r="N10" s="59">
        <f t="shared" si="0"/>
        <v>499.69822528193544</v>
      </c>
    </row>
    <row r="11" spans="3:19" ht="15" customHeight="1" thickBot="1" x14ac:dyDescent="0.25">
      <c r="C11" t="s">
        <v>258</v>
      </c>
      <c r="E11" s="25">
        <v>4.1000000000000002E-2</v>
      </c>
      <c r="J11" s="42" t="s">
        <v>272</v>
      </c>
      <c r="K11" s="45">
        <v>500</v>
      </c>
      <c r="L11" s="47">
        <v>4.65E-2</v>
      </c>
      <c r="M11" s="48">
        <v>47027</v>
      </c>
      <c r="N11" s="59">
        <f t="shared" si="0"/>
        <v>492.94810321662709</v>
      </c>
    </row>
    <row r="12" spans="3:19" ht="15" customHeight="1" thickBot="1" x14ac:dyDescent="0.25">
      <c r="C12" t="s">
        <v>259</v>
      </c>
      <c r="E12" s="20">
        <v>5.3999999999999999E-2</v>
      </c>
      <c r="F12" t="s">
        <v>309</v>
      </c>
      <c r="J12" s="42" t="s">
        <v>273</v>
      </c>
      <c r="K12" s="45">
        <v>800</v>
      </c>
      <c r="L12" s="47">
        <v>5.2499999999999998E-2</v>
      </c>
      <c r="M12" s="48">
        <v>54363</v>
      </c>
      <c r="N12" s="59">
        <f t="shared" si="0"/>
        <v>808.51176612297763</v>
      </c>
    </row>
    <row r="13" spans="3:19" ht="15" customHeight="1" thickBot="1" x14ac:dyDescent="0.25">
      <c r="E13" s="17"/>
      <c r="J13" s="42" t="s">
        <v>274</v>
      </c>
      <c r="K13" s="45">
        <v>600</v>
      </c>
      <c r="L13" s="47">
        <v>3.15E-2</v>
      </c>
      <c r="M13" s="48">
        <v>47331</v>
      </c>
      <c r="N13" s="59">
        <f t="shared" si="0"/>
        <v>558.83596736911466</v>
      </c>
      <c r="S13" s="49"/>
    </row>
    <row r="14" spans="3:19" ht="15" customHeight="1" thickBot="1" x14ac:dyDescent="0.25">
      <c r="C14" t="s">
        <v>307</v>
      </c>
      <c r="E14" s="41">
        <f>E11+E9*E12</f>
        <v>7.7179999999999999E-2</v>
      </c>
      <c r="J14" s="42" t="s">
        <v>275</v>
      </c>
      <c r="K14" s="45">
        <v>600</v>
      </c>
      <c r="L14" s="47">
        <v>2.8799999999999999E-2</v>
      </c>
      <c r="M14" s="48">
        <v>47604</v>
      </c>
      <c r="N14" s="59">
        <f t="shared" si="0"/>
        <v>545.20526855311971</v>
      </c>
    </row>
    <row r="15" spans="3:19" ht="15" customHeight="1" thickBot="1" x14ac:dyDescent="0.25">
      <c r="J15" s="42" t="s">
        <v>276</v>
      </c>
      <c r="K15" s="45">
        <v>600</v>
      </c>
      <c r="L15" s="47">
        <v>3.7499999999999999E-2</v>
      </c>
      <c r="M15" s="48">
        <v>54909</v>
      </c>
      <c r="N15" s="59">
        <f t="shared" si="0"/>
        <v>482.93784216179256</v>
      </c>
    </row>
    <row r="16" spans="3:19" ht="15" customHeight="1" thickBot="1" x14ac:dyDescent="0.25">
      <c r="C16" t="s">
        <v>251</v>
      </c>
      <c r="D16" t="s">
        <v>245</v>
      </c>
      <c r="J16" s="42" t="s">
        <v>277</v>
      </c>
      <c r="K16" s="45">
        <v>1000</v>
      </c>
      <c r="L16" s="47">
        <v>2.2499999999999999E-2</v>
      </c>
      <c r="M16" s="48">
        <v>48061</v>
      </c>
      <c r="N16" s="59">
        <f t="shared" si="0"/>
        <v>856.17248785927279</v>
      </c>
    </row>
    <row r="17" spans="3:17" ht="15" customHeight="1" thickBot="1" x14ac:dyDescent="0.25">
      <c r="C17" t="s">
        <v>252</v>
      </c>
      <c r="E17">
        <v>177.99100000000001</v>
      </c>
      <c r="J17" s="42" t="s">
        <v>278</v>
      </c>
      <c r="K17" s="45">
        <v>600</v>
      </c>
      <c r="L17" s="47">
        <v>4.3499999999999997E-2</v>
      </c>
      <c r="M17" s="48">
        <v>46508</v>
      </c>
      <c r="N17" s="59">
        <f t="shared" si="0"/>
        <v>592.7121881770554</v>
      </c>
    </row>
    <row r="18" spans="3:17" ht="15" customHeight="1" thickBot="1" x14ac:dyDescent="0.25">
      <c r="C18" t="s">
        <v>257</v>
      </c>
      <c r="E18" s="7">
        <v>138.94999999999999</v>
      </c>
      <c r="J18" s="42" t="s">
        <v>266</v>
      </c>
      <c r="K18" s="45">
        <v>700</v>
      </c>
      <c r="L18" s="47">
        <v>4.7500000000000001E-2</v>
      </c>
      <c r="M18" s="48">
        <v>48335</v>
      </c>
      <c r="N18" s="59">
        <f t="shared" si="0"/>
        <v>683.94623444770184</v>
      </c>
    </row>
    <row r="19" spans="3:17" ht="15" customHeight="1" thickBot="1" x14ac:dyDescent="0.25">
      <c r="J19" s="42" t="s">
        <v>279</v>
      </c>
      <c r="K19" s="45">
        <v>750</v>
      </c>
      <c r="L19" s="47">
        <v>4.9000000000000002E-2</v>
      </c>
      <c r="M19" s="48">
        <v>48700</v>
      </c>
      <c r="N19" s="59">
        <f t="shared" si="0"/>
        <v>737.56067266427613</v>
      </c>
    </row>
    <row r="20" spans="3:17" ht="15" customHeight="1" thickBot="1" x14ac:dyDescent="0.25">
      <c r="C20" t="s">
        <v>253</v>
      </c>
      <c r="E20" s="22">
        <f>E17*E18</f>
        <v>24731.849450000002</v>
      </c>
      <c r="J20" s="42" t="s">
        <v>280</v>
      </c>
      <c r="K20" s="45">
        <v>400</v>
      </c>
      <c r="L20" s="47">
        <v>4.8000000000000001E-2</v>
      </c>
      <c r="M20" s="48">
        <v>47119</v>
      </c>
      <c r="N20" s="59">
        <f>-PV($S$4,YEARFRAC($R$5,M20,0),L20*K20,K20)</f>
        <v>395.67762296468663</v>
      </c>
    </row>
    <row r="21" spans="3:17" ht="17" thickBot="1" x14ac:dyDescent="0.25">
      <c r="J21" s="42" t="s">
        <v>246</v>
      </c>
      <c r="K21" s="45">
        <v>9550</v>
      </c>
      <c r="L21" s="42"/>
      <c r="M21" s="42"/>
      <c r="N21" s="45">
        <f>SUM(N6:N20)</f>
        <v>8884.8123139883137</v>
      </c>
    </row>
    <row r="22" spans="3:17" ht="17" thickBot="1" x14ac:dyDescent="0.25">
      <c r="J22" s="50"/>
      <c r="K22" s="51"/>
      <c r="L22" s="50"/>
      <c r="M22" s="50"/>
      <c r="N22" s="51"/>
    </row>
    <row r="23" spans="3:17" ht="17" thickBot="1" x14ac:dyDescent="0.25">
      <c r="J23" s="42"/>
      <c r="K23" s="42" t="s">
        <v>283</v>
      </c>
      <c r="L23" s="43" t="s">
        <v>284</v>
      </c>
      <c r="M23" s="50"/>
      <c r="N23" s="51"/>
      <c r="P23" s="42" t="s">
        <v>330</v>
      </c>
      <c r="Q23" s="43" t="s">
        <v>331</v>
      </c>
    </row>
    <row r="24" spans="3:17" ht="17" thickBot="1" x14ac:dyDescent="0.25">
      <c r="J24" s="43" t="s">
        <v>285</v>
      </c>
      <c r="K24" s="42"/>
      <c r="L24" s="42"/>
      <c r="M24" s="50"/>
      <c r="N24" s="51"/>
      <c r="P24" s="52">
        <v>2025</v>
      </c>
      <c r="Q24" s="45">
        <v>397.2</v>
      </c>
    </row>
    <row r="25" spans="3:17" ht="44" thickBot="1" x14ac:dyDescent="0.25">
      <c r="J25" s="42" t="s">
        <v>286</v>
      </c>
      <c r="K25" s="42" t="s">
        <v>287</v>
      </c>
      <c r="L25" s="42" t="s">
        <v>288</v>
      </c>
      <c r="P25" s="52">
        <v>2026</v>
      </c>
      <c r="Q25" s="45">
        <v>402.74</v>
      </c>
    </row>
    <row r="26" spans="3:17" ht="30" thickBot="1" x14ac:dyDescent="0.25">
      <c r="J26" s="42" t="s">
        <v>289</v>
      </c>
      <c r="K26" s="47">
        <v>4.7E-2</v>
      </c>
      <c r="L26" s="47">
        <v>4.5999999999999999E-2</v>
      </c>
      <c r="P26" s="52">
        <v>2027</v>
      </c>
      <c r="Q26" s="45">
        <v>411.56</v>
      </c>
    </row>
    <row r="27" spans="3:17" ht="30" thickBot="1" x14ac:dyDescent="0.25">
      <c r="J27" s="42" t="s">
        <v>290</v>
      </c>
      <c r="K27" s="42" t="s">
        <v>291</v>
      </c>
      <c r="L27" s="42" t="s">
        <v>292</v>
      </c>
      <c r="P27" s="52">
        <v>2028</v>
      </c>
      <c r="Q27" s="45">
        <v>419.02</v>
      </c>
    </row>
    <row r="28" spans="3:17" ht="17" thickBot="1" x14ac:dyDescent="0.25">
      <c r="J28" s="43" t="s">
        <v>293</v>
      </c>
      <c r="K28" s="42"/>
      <c r="L28" s="42"/>
      <c r="P28" s="52">
        <v>2029</v>
      </c>
      <c r="Q28" s="45">
        <v>430.82</v>
      </c>
    </row>
    <row r="29" spans="3:17" ht="17" thickBot="1" x14ac:dyDescent="0.25">
      <c r="J29" s="42" t="s">
        <v>294</v>
      </c>
      <c r="K29" s="52">
        <v>1.0016700000000001</v>
      </c>
      <c r="L29" s="52">
        <v>1.00038</v>
      </c>
      <c r="P29" s="52">
        <v>2030</v>
      </c>
      <c r="Q29" s="45">
        <v>440.05</v>
      </c>
    </row>
    <row r="30" spans="3:17" ht="30" thickBot="1" x14ac:dyDescent="0.25">
      <c r="J30" s="42" t="s">
        <v>295</v>
      </c>
      <c r="K30" s="53">
        <v>805.35</v>
      </c>
      <c r="L30" s="53">
        <v>377.36</v>
      </c>
      <c r="M30" s="44"/>
      <c r="P30" s="52">
        <v>2031</v>
      </c>
      <c r="Q30" s="45">
        <v>452.92</v>
      </c>
    </row>
    <row r="31" spans="3:17" ht="30" thickBot="1" x14ac:dyDescent="0.25">
      <c r="J31" s="42" t="s">
        <v>296</v>
      </c>
      <c r="K31" s="42" t="s">
        <v>297</v>
      </c>
      <c r="L31" s="42" t="s">
        <v>298</v>
      </c>
      <c r="P31" s="52">
        <v>2032</v>
      </c>
      <c r="Q31" s="45">
        <v>455.85</v>
      </c>
    </row>
    <row r="32" spans="3:17" ht="17" thickBot="1" x14ac:dyDescent="0.25">
      <c r="J32" s="54" t="s">
        <v>260</v>
      </c>
      <c r="K32" t="s">
        <v>299</v>
      </c>
      <c r="L32" s="44">
        <f>SUM(K30:L30)</f>
        <v>1182.71</v>
      </c>
      <c r="P32" s="52">
        <v>2033</v>
      </c>
      <c r="Q32" s="45">
        <v>457.17</v>
      </c>
    </row>
    <row r="33" spans="3:17" ht="17" thickBot="1" x14ac:dyDescent="0.25">
      <c r="P33" s="52">
        <v>2034</v>
      </c>
      <c r="Q33" s="45">
        <v>493.74</v>
      </c>
    </row>
    <row r="34" spans="3:17" ht="17" thickBot="1" x14ac:dyDescent="0.25">
      <c r="P34" s="42" t="s">
        <v>332</v>
      </c>
      <c r="Q34" s="42" t="s">
        <v>332</v>
      </c>
    </row>
    <row r="35" spans="3:17" ht="17" thickBot="1" x14ac:dyDescent="0.25">
      <c r="C35" t="s">
        <v>254</v>
      </c>
      <c r="P35" s="52">
        <v>2046</v>
      </c>
      <c r="Q35" s="45">
        <v>493.74</v>
      </c>
    </row>
    <row r="36" spans="3:17" ht="17" thickBot="1" x14ac:dyDescent="0.25">
      <c r="C36" t="s">
        <v>282</v>
      </c>
      <c r="E36" t="s">
        <v>282</v>
      </c>
      <c r="F36" s="22">
        <f>E20</f>
        <v>24731.849450000002</v>
      </c>
      <c r="P36" s="52">
        <v>2047</v>
      </c>
      <c r="Q36" s="42"/>
    </row>
    <row r="37" spans="3:17" ht="17" thickBot="1" x14ac:dyDescent="0.25">
      <c r="C37" t="s">
        <v>300</v>
      </c>
      <c r="E37" t="s">
        <v>300</v>
      </c>
      <c r="F37" s="44">
        <f>N21</f>
        <v>8884.8123139883137</v>
      </c>
      <c r="P37" s="52">
        <v>2048</v>
      </c>
      <c r="Q37" s="42"/>
    </row>
    <row r="38" spans="3:17" ht="17" thickBot="1" x14ac:dyDescent="0.25">
      <c r="C38" t="s">
        <v>301</v>
      </c>
      <c r="E38" t="s">
        <v>301</v>
      </c>
      <c r="F38" s="44">
        <f>L32</f>
        <v>1182.71</v>
      </c>
      <c r="P38" s="52">
        <v>2049</v>
      </c>
      <c r="Q38" s="45">
        <v>493.74</v>
      </c>
    </row>
    <row r="39" spans="3:17" ht="30" thickBot="1" x14ac:dyDescent="0.25">
      <c r="C39" t="s">
        <v>281</v>
      </c>
      <c r="E39" t="s">
        <v>281</v>
      </c>
      <c r="F39" s="22">
        <f>SUM(F36:F38)</f>
        <v>34799.371763988318</v>
      </c>
      <c r="P39" s="42" t="s">
        <v>333</v>
      </c>
      <c r="Q39" s="45">
        <v>493.74</v>
      </c>
    </row>
    <row r="40" spans="3:17" x14ac:dyDescent="0.2">
      <c r="F40" s="22"/>
    </row>
    <row r="41" spans="3:17" x14ac:dyDescent="0.2">
      <c r="C41" t="s">
        <v>304</v>
      </c>
      <c r="E41" s="17">
        <v>0.26</v>
      </c>
    </row>
    <row r="42" spans="3:17" x14ac:dyDescent="0.2">
      <c r="C42" t="s">
        <v>302</v>
      </c>
      <c r="E42" s="17">
        <f>SUM(F37:F38)/F39</f>
        <v>0.28930184091445466</v>
      </c>
    </row>
    <row r="43" spans="3:17" x14ac:dyDescent="0.2">
      <c r="C43" t="s">
        <v>303</v>
      </c>
      <c r="E43" s="17">
        <f>F36/F39</f>
        <v>0.71069815908554523</v>
      </c>
    </row>
    <row r="44" spans="3:17" x14ac:dyDescent="0.2">
      <c r="C44" t="s">
        <v>305</v>
      </c>
      <c r="E44" s="41">
        <f>E14</f>
        <v>7.7179999999999999E-2</v>
      </c>
    </row>
    <row r="45" spans="3:17" x14ac:dyDescent="0.2">
      <c r="C45" t="s">
        <v>306</v>
      </c>
      <c r="E45" s="46">
        <f>E6</f>
        <v>5.1660000000000005E-2</v>
      </c>
    </row>
    <row r="46" spans="3:17" x14ac:dyDescent="0.2">
      <c r="C46" t="s">
        <v>254</v>
      </c>
      <c r="E46" s="23">
        <f>E43*E44+((E42*E45)*(1-E41))</f>
        <v>6.5911230413436522E-2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BD6EA-B248-B64B-BEB5-86DA9ACF59EA}">
  <dimension ref="C2:T28"/>
  <sheetViews>
    <sheetView workbookViewId="0">
      <pane xSplit="9420" ySplit="1200" topLeftCell="P1" activePane="bottomRight"/>
      <selection pane="topRight" activeCell="M2" sqref="M2"/>
      <selection pane="bottomLeft" activeCell="C29" sqref="C29"/>
      <selection pane="bottomRight" activeCell="U4" sqref="U4"/>
    </sheetView>
    <sheetView workbookViewId="1"/>
  </sheetViews>
  <sheetFormatPr baseColWidth="10" defaultColWidth="11" defaultRowHeight="16" x14ac:dyDescent="0.2"/>
  <cols>
    <col min="3" max="3" width="53" customWidth="1"/>
    <col min="4" max="18" width="13.33203125" customWidth="1"/>
    <col min="19" max="19" width="11.5" bestFit="1" customWidth="1"/>
  </cols>
  <sheetData>
    <row r="2" spans="3:20" x14ac:dyDescent="0.2">
      <c r="D2" s="1">
        <v>44346</v>
      </c>
      <c r="E2" s="1">
        <v>44439</v>
      </c>
      <c r="F2" s="1">
        <v>44530</v>
      </c>
      <c r="G2" s="1">
        <v>44620</v>
      </c>
      <c r="H2" s="1">
        <v>44711</v>
      </c>
      <c r="I2" s="1">
        <v>44804</v>
      </c>
      <c r="J2" s="1">
        <v>44895</v>
      </c>
      <c r="K2" s="1">
        <v>44985</v>
      </c>
      <c r="L2" s="1">
        <v>45077</v>
      </c>
      <c r="M2" s="1">
        <v>45169</v>
      </c>
      <c r="N2" s="1">
        <v>45260</v>
      </c>
      <c r="O2" s="1">
        <v>45350</v>
      </c>
      <c r="P2" s="1">
        <v>45442</v>
      </c>
      <c r="Q2" s="1">
        <v>45535</v>
      </c>
      <c r="R2" s="1">
        <v>45626</v>
      </c>
      <c r="S2" s="1">
        <v>45716</v>
      </c>
    </row>
    <row r="3" spans="3:20" x14ac:dyDescent="0.2"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s="15" t="s">
        <v>18</v>
      </c>
      <c r="O3" t="s">
        <v>19</v>
      </c>
      <c r="P3" t="s">
        <v>20</v>
      </c>
      <c r="Q3" t="s">
        <v>21</v>
      </c>
      <c r="R3" t="s">
        <v>22</v>
      </c>
      <c r="S3" t="s">
        <v>23</v>
      </c>
    </row>
    <row r="4" spans="3:20" x14ac:dyDescent="0.2">
      <c r="C4" s="2" t="s">
        <v>24</v>
      </c>
      <c r="D4" s="7">
        <v>2188.3000000000002</v>
      </c>
      <c r="E4" s="7">
        <v>2565</v>
      </c>
      <c r="F4" s="7">
        <v>2507</v>
      </c>
      <c r="G4" s="7">
        <f>9529.1-SUM(D4:F4)</f>
        <v>2268.8000000000002</v>
      </c>
      <c r="H4" s="7">
        <v>2540.6999999999998</v>
      </c>
      <c r="I4" s="7">
        <v>2864.3</v>
      </c>
      <c r="J4" s="7">
        <v>2624.6</v>
      </c>
      <c r="K4" s="7">
        <f>10177.2-SUM(H4:J4)</f>
        <v>2147.6000000000004</v>
      </c>
      <c r="L4" s="7">
        <v>2699.5</v>
      </c>
      <c r="M4" s="7">
        <v>3053</v>
      </c>
      <c r="N4" s="7">
        <v>2658.2</v>
      </c>
      <c r="O4" s="7">
        <f>10711-SUM(L4:N4)</f>
        <v>2300.2999999999993</v>
      </c>
      <c r="P4" s="7">
        <v>2860.7</v>
      </c>
      <c r="Q4" s="7">
        <v>3139.1</v>
      </c>
      <c r="R4" s="7">
        <v>2644.4</v>
      </c>
      <c r="S4" s="7">
        <f>10956.9-SUM(P4:R4)</f>
        <v>2312.7000000000007</v>
      </c>
    </row>
    <row r="5" spans="3:20" x14ac:dyDescent="0.2">
      <c r="C5" s="3" t="s">
        <v>25</v>
      </c>
      <c r="D5" s="11">
        <v>-161.80000000000001</v>
      </c>
      <c r="E5" s="11">
        <v>-193.9</v>
      </c>
      <c r="F5" s="11">
        <v>-186.4</v>
      </c>
      <c r="G5" s="11">
        <f>-708.4-SUM(D5:F5)</f>
        <v>-166.29999999999995</v>
      </c>
      <c r="H5" s="11">
        <v>-177.5</v>
      </c>
      <c r="I5" s="11">
        <v>-209.2</v>
      </c>
      <c r="J5" s="11">
        <f>-188.1</f>
        <v>-188.1</v>
      </c>
      <c r="K5" s="11">
        <f>-724.6-SUM(H5:J5)</f>
        <v>-149.80000000000007</v>
      </c>
      <c r="L5" s="11">
        <v>-184.6</v>
      </c>
      <c r="M5" s="11">
        <v>-216.2</v>
      </c>
      <c r="N5" s="11">
        <v>-187.3</v>
      </c>
      <c r="O5" s="11">
        <f>-749.2-SUM(L5:N5)</f>
        <v>-161.10000000000014</v>
      </c>
      <c r="P5" s="11">
        <v>-198.9</v>
      </c>
      <c r="Q5" s="11">
        <v>-220.2</v>
      </c>
      <c r="R5" s="11">
        <v>-180.6</v>
      </c>
      <c r="S5" s="11">
        <f>-748.2-SUM(P5:R5)</f>
        <v>-148.5</v>
      </c>
      <c r="T5" s="11"/>
    </row>
    <row r="6" spans="3:20" x14ac:dyDescent="0.2">
      <c r="C6" s="2" t="s">
        <v>26</v>
      </c>
      <c r="D6" s="4">
        <f>D5+D4</f>
        <v>2026.5000000000002</v>
      </c>
      <c r="E6" s="4">
        <f t="shared" ref="E6:R6" si="0">E5+E4</f>
        <v>2371.1</v>
      </c>
      <c r="F6" s="4">
        <f t="shared" si="0"/>
        <v>2320.6</v>
      </c>
      <c r="G6" s="4">
        <f>G5+G4</f>
        <v>2102.5</v>
      </c>
      <c r="H6" s="4">
        <f>H5+H4</f>
        <v>2363.1999999999998</v>
      </c>
      <c r="I6" s="4">
        <f t="shared" ref="I6" si="1">I5+I4</f>
        <v>2655.1000000000004</v>
      </c>
      <c r="J6" s="4">
        <f>J5+J4</f>
        <v>2436.5</v>
      </c>
      <c r="K6" s="4">
        <f>K5+K4</f>
        <v>1997.8000000000002</v>
      </c>
      <c r="L6" s="4">
        <f t="shared" si="0"/>
        <v>2514.9</v>
      </c>
      <c r="M6" s="4">
        <f t="shared" si="0"/>
        <v>2836.8</v>
      </c>
      <c r="N6" s="4">
        <f t="shared" si="0"/>
        <v>2470.8999999999996</v>
      </c>
      <c r="O6" s="4">
        <f>O5+O4</f>
        <v>2139.1999999999989</v>
      </c>
      <c r="P6" s="4">
        <f t="shared" ref="P6" si="2">P5+P4</f>
        <v>2661.7999999999997</v>
      </c>
      <c r="Q6" s="4">
        <f>Q5+Q4</f>
        <v>2918.9</v>
      </c>
      <c r="R6" s="4">
        <f t="shared" si="0"/>
        <v>2463.8000000000002</v>
      </c>
      <c r="S6" s="4">
        <f>S5+S4</f>
        <v>2164.2000000000007</v>
      </c>
    </row>
    <row r="7" spans="3:20" x14ac:dyDescent="0.2">
      <c r="C7" s="3" t="s">
        <v>27</v>
      </c>
      <c r="D7" s="11">
        <v>-907.2</v>
      </c>
      <c r="E7" s="11">
        <v>-1141.4000000000001</v>
      </c>
      <c r="F7" s="11">
        <v>-1094.9000000000001</v>
      </c>
      <c r="G7" s="11">
        <f>-4113.4-SUM(D7:F7)</f>
        <v>-969.89999999999918</v>
      </c>
      <c r="H7" s="11">
        <v>-1108.2</v>
      </c>
      <c r="I7" s="11">
        <v>-1329.2</v>
      </c>
      <c r="J7" s="11">
        <v>-1209.5999999999999</v>
      </c>
      <c r="K7" s="11">
        <f>-4683.6-SUM(H7:J7)</f>
        <v>-1036.6000000000004</v>
      </c>
      <c r="L7" s="11">
        <v>-1257.0999999999999</v>
      </c>
      <c r="M7" s="11">
        <v>-1386.9</v>
      </c>
      <c r="N7" s="11">
        <v>-1200.3</v>
      </c>
      <c r="O7" s="11">
        <f>-4944.3-SUM(L7:N7)</f>
        <v>-1100</v>
      </c>
      <c r="P7" s="11">
        <v>-1258</v>
      </c>
      <c r="Q7" s="11">
        <v>-1407.1</v>
      </c>
      <c r="R7" s="11">
        <v>-1179.5</v>
      </c>
      <c r="S7" s="11">
        <f>-4894.1-SUM(P7:R7)</f>
        <v>-1049.5000000000005</v>
      </c>
    </row>
    <row r="8" spans="3:20" x14ac:dyDescent="0.2">
      <c r="C8" s="2" t="s">
        <v>28</v>
      </c>
      <c r="D8" s="5">
        <f t="shared" ref="D8:R8" si="3">D6+D7</f>
        <v>1119.3000000000002</v>
      </c>
      <c r="E8" s="5">
        <f t="shared" si="3"/>
        <v>1229.6999999999998</v>
      </c>
      <c r="F8" s="5">
        <f t="shared" si="3"/>
        <v>1225.6999999999998</v>
      </c>
      <c r="G8" s="5">
        <f t="shared" si="3"/>
        <v>1132.6000000000008</v>
      </c>
      <c r="H8" s="5">
        <f t="shared" si="3"/>
        <v>1254.9999999999998</v>
      </c>
      <c r="I8" s="5">
        <f t="shared" si="3"/>
        <v>1325.9000000000003</v>
      </c>
      <c r="J8" s="5">
        <f>J6+J7</f>
        <v>1226.9000000000001</v>
      </c>
      <c r="K8" s="5">
        <f>K6+K7</f>
        <v>961.19999999999982</v>
      </c>
      <c r="L8" s="5">
        <f>L6+L7</f>
        <v>1257.8000000000002</v>
      </c>
      <c r="M8" s="5">
        <f t="shared" si="3"/>
        <v>1449.9</v>
      </c>
      <c r="N8" s="5">
        <f t="shared" si="3"/>
        <v>1270.5999999999997</v>
      </c>
      <c r="O8" s="5">
        <f>O6+O7</f>
        <v>1039.1999999999989</v>
      </c>
      <c r="P8" s="5">
        <f t="shared" si="3"/>
        <v>1403.7999999999997</v>
      </c>
      <c r="Q8" s="5">
        <f t="shared" si="3"/>
        <v>1511.8000000000002</v>
      </c>
      <c r="R8" s="5">
        <f t="shared" si="3"/>
        <v>1284.3000000000002</v>
      </c>
      <c r="S8" s="5">
        <f>S6+S7</f>
        <v>1114.7000000000003</v>
      </c>
    </row>
    <row r="9" spans="3:20" x14ac:dyDescent="0.2">
      <c r="C9" s="6" t="s">
        <v>29</v>
      </c>
      <c r="D9" s="11">
        <v>-378.3</v>
      </c>
      <c r="E9" s="11">
        <v>-490.5</v>
      </c>
      <c r="F9" s="11">
        <v>-385.8</v>
      </c>
      <c r="G9" s="11">
        <f>-1709.7-SUM(D9:F9)</f>
        <v>-455.10000000000014</v>
      </c>
      <c r="H9" s="11">
        <v>-438.6</v>
      </c>
      <c r="I9" s="11">
        <v>-512.79999999999995</v>
      </c>
      <c r="J9" s="11">
        <v>-480.2</v>
      </c>
      <c r="K9" s="11">
        <f>-1928.1-SUM(H9:J9)</f>
        <v>-496.5</v>
      </c>
      <c r="L9" s="11">
        <v>-493.1</v>
      </c>
      <c r="M9" s="11">
        <v>-471.2</v>
      </c>
      <c r="N9" s="11">
        <v>-473.7</v>
      </c>
      <c r="O9" s="11">
        <f>-1832.7-SUM(L9:N9)</f>
        <v>-394.70000000000005</v>
      </c>
      <c r="P9" s="11">
        <v>-462.2</v>
      </c>
      <c r="Q9" s="11">
        <v>-491.2</v>
      </c>
      <c r="R9" s="11">
        <v>-491.3</v>
      </c>
      <c r="S9" s="11">
        <f>-1950-SUM(P9:R9)</f>
        <v>-505.29999999999995</v>
      </c>
    </row>
    <row r="10" spans="3:20" x14ac:dyDescent="0.2">
      <c r="C10" s="6" t="s">
        <v>30</v>
      </c>
      <c r="D10" s="11">
        <v>-665.9</v>
      </c>
      <c r="E10" s="11">
        <v>0</v>
      </c>
      <c r="F10" s="11">
        <v>0</v>
      </c>
      <c r="G10" s="11">
        <v>-665.9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</row>
    <row r="11" spans="3:20" x14ac:dyDescent="0.2">
      <c r="C11" s="6" t="s">
        <v>31</v>
      </c>
      <c r="D11" s="11">
        <v>0</v>
      </c>
      <c r="E11" s="11" t="s">
        <v>32</v>
      </c>
      <c r="F11" s="11">
        <v>0</v>
      </c>
      <c r="G11" s="11">
        <v>0</v>
      </c>
      <c r="H11" s="11">
        <v>0</v>
      </c>
      <c r="I11" s="11" t="s">
        <v>32</v>
      </c>
      <c r="J11" s="11">
        <v>0</v>
      </c>
      <c r="K11" s="11">
        <v>-13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1">
        <v>-2250</v>
      </c>
      <c r="R11" s="11">
        <v>0</v>
      </c>
      <c r="S11" s="11">
        <f>-2797.7-SUM(P11:R11)</f>
        <v>-547.69999999999982</v>
      </c>
    </row>
    <row r="12" spans="3:20" x14ac:dyDescent="0.2">
      <c r="C12" s="6" t="s">
        <v>48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-478</v>
      </c>
    </row>
    <row r="13" spans="3:20" x14ac:dyDescent="0.2">
      <c r="C13" s="6" t="s">
        <v>33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15</v>
      </c>
      <c r="L13" s="11">
        <v>0</v>
      </c>
      <c r="M13" s="11">
        <v>0</v>
      </c>
      <c r="N13" s="11">
        <v>0</v>
      </c>
      <c r="O13" s="11">
        <v>-15.1</v>
      </c>
      <c r="P13" s="11">
        <v>0</v>
      </c>
      <c r="Q13" s="11">
        <v>0</v>
      </c>
      <c r="R13" s="11">
        <v>0</v>
      </c>
      <c r="S13" s="11">
        <v>266</v>
      </c>
    </row>
    <row r="14" spans="3:20" ht="17" thickBot="1" x14ac:dyDescent="0.25">
      <c r="C14" s="2" t="s">
        <v>34</v>
      </c>
      <c r="D14" s="8">
        <f>SUM(D8:D13)</f>
        <v>75.10000000000025</v>
      </c>
      <c r="E14" s="8">
        <f t="shared" ref="E14:J14" si="4">SUM(E8:E13)</f>
        <v>739.19999999999982</v>
      </c>
      <c r="F14" s="8">
        <f t="shared" si="4"/>
        <v>839.89999999999986</v>
      </c>
      <c r="G14" s="8">
        <f t="shared" si="4"/>
        <v>11.600000000000705</v>
      </c>
      <c r="H14" s="8">
        <f t="shared" si="4"/>
        <v>816.39999999999975</v>
      </c>
      <c r="I14" s="8">
        <f t="shared" si="4"/>
        <v>813.10000000000036</v>
      </c>
      <c r="J14" s="8">
        <f t="shared" si="4"/>
        <v>746.7</v>
      </c>
      <c r="K14" s="8">
        <f>SUM(K8:K13)</f>
        <v>466.69999999999982</v>
      </c>
      <c r="L14" s="8">
        <f>SUM(L8:L13)</f>
        <v>764.70000000000016</v>
      </c>
      <c r="M14" s="8">
        <f t="shared" ref="M14:O14" si="5">SUM(M8:M13)</f>
        <v>978.7</v>
      </c>
      <c r="N14" s="8">
        <f t="shared" si="5"/>
        <v>796.89999999999964</v>
      </c>
      <c r="O14" s="8">
        <f t="shared" si="5"/>
        <v>629.39999999999884</v>
      </c>
      <c r="P14" s="8">
        <f t="shared" ref="P14" si="6">SUM(P8:P13)</f>
        <v>941.59999999999968</v>
      </c>
      <c r="Q14" s="8">
        <f t="shared" ref="Q14" si="7">SUM(Q8:Q13)</f>
        <v>-1229.3999999999999</v>
      </c>
      <c r="R14" s="8">
        <f>SUM(R8:R13)</f>
        <v>793.00000000000023</v>
      </c>
      <c r="S14" s="8">
        <f>SUM(S8:S13)</f>
        <v>-150.2999999999995</v>
      </c>
    </row>
    <row r="15" spans="3:20" x14ac:dyDescent="0.2">
      <c r="C15" s="6" t="s">
        <v>35</v>
      </c>
      <c r="D15" s="11">
        <v>-899.2</v>
      </c>
      <c r="E15" s="11">
        <v>-470.8</v>
      </c>
      <c r="F15" s="11">
        <v>-171.8</v>
      </c>
      <c r="G15" s="11">
        <f>-1635.5-SUM(D15:F15)</f>
        <v>-93.700000000000045</v>
      </c>
      <c r="H15" s="11">
        <v>-187.9</v>
      </c>
      <c r="I15" s="11">
        <v>-1719.1</v>
      </c>
      <c r="J15" s="11">
        <v>-37.200000000000003</v>
      </c>
      <c r="K15" s="11">
        <f>-2036.4-SUM(H15:J15)</f>
        <v>-92.200000000000045</v>
      </c>
      <c r="L15" s="11">
        <v>-415.4</v>
      </c>
      <c r="M15" s="11">
        <v>-20.2</v>
      </c>
      <c r="N15" s="11">
        <v>-41.8</v>
      </c>
      <c r="O15" s="11">
        <f>-511.8-SUM(L15:N15)</f>
        <v>-34.400000000000034</v>
      </c>
      <c r="P15" s="11">
        <v>82</v>
      </c>
      <c r="Q15" s="11">
        <v>-1.2</v>
      </c>
      <c r="R15" s="11">
        <v>-15</v>
      </c>
      <c r="S15" s="11">
        <f>-26.3-SUM(P15:R15)</f>
        <v>-92.1</v>
      </c>
    </row>
    <row r="16" spans="3:20" x14ac:dyDescent="0.2">
      <c r="C16" s="6" t="s">
        <v>36</v>
      </c>
      <c r="D16" s="11">
        <v>-86.7</v>
      </c>
      <c r="E16" s="11">
        <v>-95.8</v>
      </c>
      <c r="F16" s="11">
        <v>-88</v>
      </c>
      <c r="G16" s="11">
        <f>-356.4-SUM((D16:F16))</f>
        <v>-85.899999999999977</v>
      </c>
      <c r="H16" s="11">
        <v>-88.5</v>
      </c>
      <c r="I16" s="11">
        <v>-94.3</v>
      </c>
      <c r="J16" s="11">
        <v>-98.7</v>
      </c>
      <c r="K16" s="11">
        <f>-422.9-SUM(H16:J16)</f>
        <v>-141.39999999999998</v>
      </c>
      <c r="L16" s="11">
        <v>-118.9</v>
      </c>
      <c r="M16" s="11">
        <v>-110.6</v>
      </c>
      <c r="N16" s="11">
        <v>-104.2</v>
      </c>
      <c r="O16" s="11">
        <f>-436.1-SUM(L16:N16)</f>
        <v>-102.40000000000003</v>
      </c>
      <c r="P16" s="11">
        <v>-102.8</v>
      </c>
      <c r="Q16" s="11">
        <v>-104</v>
      </c>
      <c r="R16" s="11">
        <v>-104.4</v>
      </c>
      <c r="S16" s="11">
        <f>-411.4-SUM(P16:R16)</f>
        <v>-100.19999999999993</v>
      </c>
    </row>
    <row r="17" spans="3:20" x14ac:dyDescent="0.2">
      <c r="C17" s="6" t="s">
        <v>37</v>
      </c>
      <c r="D17" s="11">
        <v>0</v>
      </c>
      <c r="E17" s="11">
        <v>-29.4</v>
      </c>
      <c r="F17" s="11">
        <v>0</v>
      </c>
      <c r="G17" s="11">
        <f>-29.4-SUM(D17:F17)</f>
        <v>0</v>
      </c>
      <c r="H17" s="11">
        <v>-15.3</v>
      </c>
      <c r="I17" s="11">
        <v>-8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</row>
    <row r="18" spans="3:20" x14ac:dyDescent="0.2">
      <c r="C18" s="9" t="s">
        <v>38</v>
      </c>
      <c r="D18" s="12">
        <f>D14+SUM(D15:D17)</f>
        <v>-910.79999999999984</v>
      </c>
      <c r="E18" s="12">
        <f t="shared" ref="E18:N18" si="8">E14+SUM(E15:E17)</f>
        <v>143.19999999999982</v>
      </c>
      <c r="F18" s="12">
        <f t="shared" si="8"/>
        <v>580.09999999999991</v>
      </c>
      <c r="G18" s="12">
        <f>G14+SUM(G15:G17)</f>
        <v>-167.99999999999932</v>
      </c>
      <c r="H18" s="12">
        <f>H14+SUM(H15:H17)</f>
        <v>524.69999999999982</v>
      </c>
      <c r="I18" s="12">
        <f>I14+SUM(I15:I17)</f>
        <v>-1008.2999999999995</v>
      </c>
      <c r="J18" s="12">
        <f t="shared" ref="J18" si="9">J14+SUM(J15:J17)</f>
        <v>610.80000000000007</v>
      </c>
      <c r="K18" s="12">
        <f>K14+SUM(K15:K17)</f>
        <v>233.0999999999998</v>
      </c>
      <c r="L18" s="12">
        <f>L14+SUM(L15:L17)</f>
        <v>230.4000000000002</v>
      </c>
      <c r="M18" s="12">
        <f t="shared" si="8"/>
        <v>847.90000000000009</v>
      </c>
      <c r="N18" s="12">
        <f t="shared" si="8"/>
        <v>650.89999999999964</v>
      </c>
      <c r="O18" s="12">
        <f>O14+SUM(O15:O17)</f>
        <v>492.59999999999877</v>
      </c>
      <c r="P18" s="12">
        <f t="shared" ref="P18" si="10">P14+SUM(P15:P17)</f>
        <v>920.79999999999973</v>
      </c>
      <c r="Q18" s="12">
        <f t="shared" ref="Q18" si="11">Q14+SUM(Q15:Q17)</f>
        <v>-1334.6</v>
      </c>
      <c r="R18" s="12">
        <f t="shared" ref="R18" si="12">R14+SUM(R15:R17)</f>
        <v>673.60000000000025</v>
      </c>
      <c r="S18" s="12">
        <f>S14+SUM(S15:S17)</f>
        <v>-342.59999999999945</v>
      </c>
    </row>
    <row r="19" spans="3:20" x14ac:dyDescent="0.2">
      <c r="C19" s="6" t="s">
        <v>39</v>
      </c>
      <c r="D19" s="14">
        <v>13.5</v>
      </c>
      <c r="E19" s="14">
        <v>-131.30000000000001</v>
      </c>
      <c r="F19" s="14">
        <v>-99.3</v>
      </c>
      <c r="G19" s="14">
        <f>-309.4-SUM(D19:F19)</f>
        <v>-92.299999999999955</v>
      </c>
      <c r="H19" s="14">
        <v>-125.4</v>
      </c>
      <c r="I19" s="14">
        <v>-132.4</v>
      </c>
      <c r="J19" s="14">
        <v>-131.1</v>
      </c>
      <c r="K19" s="14">
        <v>-422.1</v>
      </c>
      <c r="L19" s="14">
        <v>-91.2</v>
      </c>
      <c r="M19" s="14">
        <v>-147.19999999999999</v>
      </c>
      <c r="N19" s="14">
        <v>-130</v>
      </c>
      <c r="O19" s="14">
        <f>-456.6-SUM(L19:N19)</f>
        <v>-88.200000000000045</v>
      </c>
      <c r="P19" s="14">
        <v>-28</v>
      </c>
      <c r="Q19" s="14">
        <v>152.19999999999999</v>
      </c>
      <c r="R19" s="14">
        <v>-44.5</v>
      </c>
      <c r="S19" s="14">
        <f>51.7-SUM(P19:R19)</f>
        <v>-27.999999999999986</v>
      </c>
    </row>
    <row r="20" spans="3:20" ht="17" thickBot="1" x14ac:dyDescent="0.25">
      <c r="C20" s="9" t="s">
        <v>40</v>
      </c>
      <c r="D20" s="10">
        <f>D18+D19</f>
        <v>-897.29999999999984</v>
      </c>
      <c r="E20" s="10">
        <f t="shared" ref="E20:R20" si="13">E18+E19</f>
        <v>11.899999999999807</v>
      </c>
      <c r="F20" s="10">
        <f t="shared" si="13"/>
        <v>480.7999999999999</v>
      </c>
      <c r="G20" s="10">
        <f>G18+G19</f>
        <v>-260.29999999999927</v>
      </c>
      <c r="H20" s="10">
        <f>H18+H19</f>
        <v>399.29999999999984</v>
      </c>
      <c r="I20" s="10">
        <f t="shared" ref="I20" si="14">I18+I19</f>
        <v>-1140.6999999999996</v>
      </c>
      <c r="J20" s="10">
        <f t="shared" ref="J20" si="15">J18+J19</f>
        <v>479.70000000000005</v>
      </c>
      <c r="K20" s="10">
        <f>K18+K19</f>
        <v>-189.00000000000023</v>
      </c>
      <c r="L20" s="10">
        <f>L18+L19</f>
        <v>139.20000000000022</v>
      </c>
      <c r="M20" s="10">
        <f t="shared" si="13"/>
        <v>700.7</v>
      </c>
      <c r="N20" s="10">
        <f t="shared" si="13"/>
        <v>520.89999999999964</v>
      </c>
      <c r="O20" s="10">
        <f t="shared" si="13"/>
        <v>404.39999999999873</v>
      </c>
      <c r="P20" s="10">
        <f t="shared" ref="P20" si="16">P18+P19</f>
        <v>892.79999999999973</v>
      </c>
      <c r="Q20" s="10">
        <f t="shared" si="13"/>
        <v>-1182.3999999999999</v>
      </c>
      <c r="R20" s="10">
        <f t="shared" si="13"/>
        <v>629.10000000000025</v>
      </c>
      <c r="S20" s="10">
        <f>S18+S19</f>
        <v>-370.59999999999945</v>
      </c>
    </row>
    <row r="21" spans="3:20" x14ac:dyDescent="0.2">
      <c r="C21" s="6" t="s">
        <v>41</v>
      </c>
      <c r="D21" s="14">
        <v>-10.8</v>
      </c>
      <c r="E21" s="14">
        <v>-10.4</v>
      </c>
      <c r="F21" s="14">
        <v>-10</v>
      </c>
      <c r="G21" s="14">
        <f>-41.4-SUM(D21:F21)</f>
        <v>-10.199999999999996</v>
      </c>
      <c r="H21" s="14">
        <v>-9.8000000000000007</v>
      </c>
      <c r="I21" s="14">
        <v>-10.5</v>
      </c>
      <c r="J21" s="14">
        <v>-12</v>
      </c>
      <c r="K21" s="14">
        <v>-32.5</v>
      </c>
      <c r="L21" s="14">
        <f>-3.3</f>
        <v>-3.3</v>
      </c>
      <c r="M21" s="14">
        <v>-10.7</v>
      </c>
      <c r="N21" s="14">
        <v>-11.8</v>
      </c>
      <c r="O21" s="14">
        <f>-37.8-SUM(L21:N21)</f>
        <v>-11.999999999999996</v>
      </c>
      <c r="P21" s="14">
        <v>-15.8</v>
      </c>
      <c r="Q21" s="14">
        <v>-16.600000000000001</v>
      </c>
      <c r="R21" s="14">
        <v>-13.2</v>
      </c>
      <c r="S21" s="14">
        <f>-50.3-SUM(P21:R21)</f>
        <v>-4.6999999999999886</v>
      </c>
    </row>
    <row r="22" spans="3:20" ht="17" thickBot="1" x14ac:dyDescent="0.25">
      <c r="C22" s="9" t="s">
        <v>42</v>
      </c>
      <c r="D22" s="10">
        <f>D20+D21</f>
        <v>-908.0999999999998</v>
      </c>
      <c r="E22" s="10">
        <f t="shared" ref="E22:R22" si="17">E20+E21</f>
        <v>1.4999999999998064</v>
      </c>
      <c r="F22" s="10">
        <f t="shared" si="17"/>
        <v>470.7999999999999</v>
      </c>
      <c r="G22" s="10">
        <f>G20+G21</f>
        <v>-270.49999999999926</v>
      </c>
      <c r="H22" s="10">
        <f>H20+H21</f>
        <v>389.49999999999983</v>
      </c>
      <c r="I22" s="10">
        <f t="shared" ref="I22" si="18">I20+I21</f>
        <v>-1151.1999999999996</v>
      </c>
      <c r="J22" s="10">
        <f t="shared" ref="J22" si="19">J20+J21</f>
        <v>467.70000000000005</v>
      </c>
      <c r="K22" s="10">
        <f>K20+K21</f>
        <v>-221.50000000000023</v>
      </c>
      <c r="L22" s="10">
        <f>L20+L21</f>
        <v>135.9000000000002</v>
      </c>
      <c r="M22" s="10">
        <f t="shared" si="17"/>
        <v>690</v>
      </c>
      <c r="N22" s="10">
        <f t="shared" si="17"/>
        <v>509.09999999999962</v>
      </c>
      <c r="O22" s="10">
        <f>O20+O21</f>
        <v>392.39999999999873</v>
      </c>
      <c r="P22" s="10">
        <f t="shared" ref="P22" si="20">P20+P21</f>
        <v>876.99999999999977</v>
      </c>
      <c r="Q22" s="10">
        <f t="shared" si="17"/>
        <v>-1198.9999999999998</v>
      </c>
      <c r="R22" s="10">
        <f t="shared" si="17"/>
        <v>615.9000000000002</v>
      </c>
      <c r="S22" s="10">
        <f>S20+S21</f>
        <v>-375.29999999999944</v>
      </c>
    </row>
    <row r="23" spans="3:20" x14ac:dyDescent="0.2">
      <c r="C23" s="6" t="s">
        <v>43</v>
      </c>
      <c r="D23" s="11">
        <f>D26-D22</f>
        <v>98.899999999999864</v>
      </c>
      <c r="E23" s="11">
        <f t="shared" ref="E23:N23" si="21">E26-E22</f>
        <v>-53.799999999999805</v>
      </c>
      <c r="F23" s="11">
        <f t="shared" si="21"/>
        <v>-332.69999999999993</v>
      </c>
      <c r="G23" s="11">
        <f>G26-G22</f>
        <v>167.49999999999926</v>
      </c>
      <c r="H23" s="11">
        <f>H26-H22</f>
        <v>246.40000000000015</v>
      </c>
      <c r="I23" s="11">
        <f t="shared" ref="I23" si="22">I26-I22</f>
        <v>-189.10000000000036</v>
      </c>
      <c r="J23" s="11">
        <f t="shared" ref="J23" si="23">J26-J22</f>
        <v>154.5</v>
      </c>
      <c r="K23" s="11">
        <f>K26-K22</f>
        <v>624.50000000000023</v>
      </c>
      <c r="L23" s="11">
        <f t="shared" si="21"/>
        <v>214.39999999999981</v>
      </c>
      <c r="M23" s="11">
        <f t="shared" si="21"/>
        <v>191.5</v>
      </c>
      <c r="N23" s="11">
        <f t="shared" si="21"/>
        <v>-54.199999999999648</v>
      </c>
      <c r="O23" s="11">
        <f>O26-O22</f>
        <v>-29.699999999998738</v>
      </c>
      <c r="P23" s="11">
        <f t="shared" ref="P23" si="24">P26-P22</f>
        <v>-8.9999999999997726</v>
      </c>
      <c r="Q23" s="11">
        <f t="shared" ref="Q23" si="25">Q26-Q22</f>
        <v>-794.80000000000018</v>
      </c>
      <c r="R23" s="11">
        <f t="shared" ref="R23" si="26">R26-R22</f>
        <v>-297.70000000000022</v>
      </c>
      <c r="S23" s="11">
        <f>S26-S22</f>
        <v>61.999999999999375</v>
      </c>
    </row>
    <row r="24" spans="3:20" x14ac:dyDescent="0.2">
      <c r="C24" s="9" t="s">
        <v>44</v>
      </c>
      <c r="D24" s="7">
        <v>-792.8</v>
      </c>
      <c r="E24" s="7">
        <v>-45.8</v>
      </c>
      <c r="F24" s="7">
        <v>130</v>
      </c>
      <c r="G24" s="7">
        <v>-79.400000000000006</v>
      </c>
      <c r="H24" s="7">
        <v>658.3</v>
      </c>
      <c r="I24" s="7">
        <v>-1334.2</v>
      </c>
      <c r="J24" s="7">
        <v>643.1</v>
      </c>
      <c r="K24" s="7">
        <f>429.9-SUM(H24:J24)</f>
        <v>462.70000000000005</v>
      </c>
      <c r="L24" s="7">
        <v>364.5</v>
      </c>
      <c r="M24" s="7">
        <v>901.5</v>
      </c>
      <c r="N24" s="7">
        <v>447</v>
      </c>
      <c r="O24" s="7">
        <f>2129.5-SUM(L24:N24)</f>
        <v>416.5</v>
      </c>
      <c r="P24" s="7">
        <v>884.1</v>
      </c>
      <c r="Q24" s="7">
        <v>-2013.8</v>
      </c>
      <c r="R24" s="7">
        <v>319.3</v>
      </c>
      <c r="S24" s="7">
        <f>-1114.8-SUM(P24:R24)</f>
        <v>-304.40000000000009</v>
      </c>
    </row>
    <row r="25" spans="3:20" x14ac:dyDescent="0.2">
      <c r="C25" s="6" t="s">
        <v>45</v>
      </c>
      <c r="D25" s="11">
        <v>-16.399999999999999</v>
      </c>
      <c r="E25" s="11">
        <v>-6.5</v>
      </c>
      <c r="F25" s="11">
        <v>8.1</v>
      </c>
      <c r="G25" s="11">
        <f>-38.4-SUM(D25:F25)</f>
        <v>-23.6</v>
      </c>
      <c r="H25" s="11">
        <v>-22.4</v>
      </c>
      <c r="I25" s="11">
        <v>-6.1</v>
      </c>
      <c r="J25" s="11">
        <v>-20.9</v>
      </c>
      <c r="K25" s="11">
        <v>-59.7</v>
      </c>
      <c r="L25" s="11">
        <v>-14.2</v>
      </c>
      <c r="M25" s="11">
        <v>-20</v>
      </c>
      <c r="N25" s="11">
        <v>7.9</v>
      </c>
      <c r="O25" s="11">
        <v>-53.8</v>
      </c>
      <c r="P25" s="11">
        <v>-16.100000000000001</v>
      </c>
      <c r="Q25" s="11">
        <v>20</v>
      </c>
      <c r="R25" s="11">
        <v>-1.1000000000000001</v>
      </c>
      <c r="S25" s="11">
        <f>-6.1-SUM(P25:R25)</f>
        <v>-8.8999999999999986</v>
      </c>
    </row>
    <row r="26" spans="3:20" ht="17" thickBot="1" x14ac:dyDescent="0.25">
      <c r="C26" s="9" t="s">
        <v>46</v>
      </c>
      <c r="D26" s="13">
        <f>D24+D25</f>
        <v>-809.19999999999993</v>
      </c>
      <c r="E26" s="13">
        <f t="shared" ref="E26:S26" si="27">E24+E25</f>
        <v>-52.3</v>
      </c>
      <c r="F26" s="13">
        <f t="shared" si="27"/>
        <v>138.1</v>
      </c>
      <c r="G26" s="13">
        <f>G24+G25</f>
        <v>-103</v>
      </c>
      <c r="H26" s="13">
        <f>H24+H25</f>
        <v>635.9</v>
      </c>
      <c r="I26" s="13">
        <f t="shared" ref="I26" si="28">I24+I25</f>
        <v>-1340.3</v>
      </c>
      <c r="J26" s="13">
        <f t="shared" ref="J26" si="29">J24+J25</f>
        <v>622.20000000000005</v>
      </c>
      <c r="K26" s="13">
        <f>K24+K25</f>
        <v>403.00000000000006</v>
      </c>
      <c r="L26" s="13">
        <f t="shared" si="27"/>
        <v>350.3</v>
      </c>
      <c r="M26" s="13">
        <f>M24+M25</f>
        <v>881.5</v>
      </c>
      <c r="N26" s="13">
        <f t="shared" si="27"/>
        <v>454.9</v>
      </c>
      <c r="O26" s="13">
        <f>O24+O25</f>
        <v>362.7</v>
      </c>
      <c r="P26" s="13">
        <f t="shared" ref="P26" si="30">P24+P25</f>
        <v>868</v>
      </c>
      <c r="Q26" s="13">
        <f t="shared" si="27"/>
        <v>-1993.8</v>
      </c>
      <c r="R26" s="13">
        <f t="shared" si="27"/>
        <v>318.2</v>
      </c>
      <c r="S26" s="13">
        <f t="shared" si="27"/>
        <v>-313.30000000000007</v>
      </c>
    </row>
    <row r="27" spans="3:20" ht="17" thickTop="1" x14ac:dyDescent="0.2"/>
    <row r="28" spans="3:20" x14ac:dyDescent="0.2"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9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5347A-7BD3-46A4-861B-FED8B02863D7}">
  <dimension ref="C3:Y141"/>
  <sheetViews>
    <sheetView workbookViewId="0">
      <pane xSplit="10940" ySplit="1800" topLeftCell="D100" activePane="bottomRight"/>
      <selection pane="topRight" activeCell="D4" sqref="D4"/>
      <selection pane="bottomLeft" activeCell="C138" sqref="C138"/>
      <selection pane="bottomRight" activeCell="D139" sqref="D139"/>
    </sheetView>
    <sheetView topLeftCell="C1" workbookViewId="1">
      <pane xSplit="11260" ySplit="1500" topLeftCell="F54" activePane="bottomRight"/>
      <selection activeCell="C1" sqref="C1"/>
      <selection pane="topRight" activeCell="D1" sqref="D1"/>
      <selection pane="bottomLeft" activeCell="C56" sqref="C56:C127"/>
      <selection pane="bottomRight" activeCell="F93" sqref="F93:N93"/>
    </sheetView>
  </sheetViews>
  <sheetFormatPr baseColWidth="10" defaultColWidth="8.83203125" defaultRowHeight="16" x14ac:dyDescent="0.2"/>
  <cols>
    <col min="3" max="3" width="79.5" customWidth="1"/>
    <col min="4" max="14" width="11.1640625" customWidth="1"/>
    <col min="15" max="15" width="12.5" customWidth="1"/>
    <col min="16" max="24" width="11.1640625" customWidth="1"/>
    <col min="25" max="25" width="12" bestFit="1" customWidth="1"/>
  </cols>
  <sheetData>
    <row r="3" spans="3:24" x14ac:dyDescent="0.2">
      <c r="D3" s="67" t="s">
        <v>165</v>
      </c>
      <c r="E3" s="67"/>
      <c r="F3" s="67"/>
      <c r="G3" s="67"/>
      <c r="O3" t="s">
        <v>153</v>
      </c>
    </row>
    <row r="4" spans="3:24" x14ac:dyDescent="0.2">
      <c r="D4">
        <v>2015</v>
      </c>
      <c r="E4">
        <v>2016</v>
      </c>
      <c r="F4">
        <v>2017</v>
      </c>
      <c r="G4">
        <v>2018</v>
      </c>
      <c r="H4">
        <v>2019</v>
      </c>
      <c r="I4">
        <v>2020</v>
      </c>
      <c r="J4">
        <v>2021</v>
      </c>
      <c r="K4">
        <v>2022</v>
      </c>
      <c r="L4">
        <v>2023</v>
      </c>
      <c r="M4">
        <v>2024</v>
      </c>
      <c r="N4">
        <v>2025</v>
      </c>
      <c r="O4">
        <v>2026</v>
      </c>
      <c r="P4">
        <v>2027</v>
      </c>
      <c r="Q4">
        <v>2028</v>
      </c>
      <c r="R4">
        <v>2029</v>
      </c>
      <c r="S4">
        <v>2030</v>
      </c>
      <c r="T4">
        <v>2031</v>
      </c>
      <c r="U4">
        <v>2032</v>
      </c>
      <c r="V4">
        <v>2033</v>
      </c>
      <c r="W4">
        <v>2034</v>
      </c>
      <c r="X4">
        <v>2035</v>
      </c>
    </row>
    <row r="6" spans="3:24" x14ac:dyDescent="0.2">
      <c r="C6" t="s">
        <v>24</v>
      </c>
      <c r="D6" s="11">
        <v>6672.1</v>
      </c>
      <c r="E6" s="11">
        <v>7223.8</v>
      </c>
      <c r="F6" s="11">
        <v>8051.2</v>
      </c>
      <c r="G6" s="11">
        <v>8322.1</v>
      </c>
      <c r="H6" s="11">
        <v>8884.2999999999993</v>
      </c>
      <c r="I6" s="11">
        <v>9113</v>
      </c>
      <c r="J6" s="11">
        <v>9355.7000000000007</v>
      </c>
      <c r="K6" s="11">
        <v>9529.1</v>
      </c>
      <c r="L6" s="11">
        <v>10177.200000000001</v>
      </c>
      <c r="M6" s="11">
        <v>10711</v>
      </c>
      <c r="N6" s="11">
        <v>10956.9</v>
      </c>
      <c r="O6" s="11">
        <v>10956.9</v>
      </c>
      <c r="P6" s="11">
        <v>10956.9</v>
      </c>
      <c r="Q6" s="11">
        <v>10956.9</v>
      </c>
      <c r="R6" s="11">
        <v>10956.9</v>
      </c>
      <c r="S6" s="11">
        <v>10956.9</v>
      </c>
      <c r="T6" s="11">
        <v>10956.9</v>
      </c>
      <c r="U6" s="11">
        <v>10956.9</v>
      </c>
      <c r="V6" s="11">
        <v>10956.9</v>
      </c>
      <c r="W6" s="11">
        <v>10956.9</v>
      </c>
      <c r="X6" s="11">
        <v>10956.9</v>
      </c>
    </row>
    <row r="7" spans="3:24" x14ac:dyDescent="0.2">
      <c r="C7" t="s">
        <v>130</v>
      </c>
      <c r="D7" s="11">
        <v>-644.1</v>
      </c>
      <c r="E7" s="11">
        <v>-675.4</v>
      </c>
      <c r="F7" s="11">
        <v>-730.1</v>
      </c>
      <c r="G7" s="11">
        <v>-741.8</v>
      </c>
      <c r="H7" s="11">
        <v>-768.3</v>
      </c>
      <c r="I7" s="11">
        <v>-769.5</v>
      </c>
      <c r="J7" s="11">
        <v>-740.8</v>
      </c>
      <c r="K7" s="11">
        <v>-708.4</v>
      </c>
      <c r="L7" s="11">
        <v>-724.6</v>
      </c>
      <c r="M7" s="11">
        <v>-749.2</v>
      </c>
      <c r="N7" s="11">
        <v>-748.2</v>
      </c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3:24" x14ac:dyDescent="0.2">
      <c r="C8" s="2" t="s">
        <v>26</v>
      </c>
      <c r="D8" s="30">
        <f>SUM(D6,D7)</f>
        <v>6028</v>
      </c>
      <c r="E8" s="30">
        <f t="shared" ref="E8:N8" si="0">SUM(E6,E7)</f>
        <v>6548.4000000000005</v>
      </c>
      <c r="F8" s="30">
        <f t="shared" si="0"/>
        <v>7321.0999999999995</v>
      </c>
      <c r="G8" s="30">
        <f t="shared" si="0"/>
        <v>7580.3</v>
      </c>
      <c r="H8" s="30">
        <f t="shared" si="0"/>
        <v>8115.9999999999991</v>
      </c>
      <c r="I8" s="30">
        <f t="shared" si="0"/>
        <v>8343.5</v>
      </c>
      <c r="J8" s="30">
        <f t="shared" si="0"/>
        <v>8614.9000000000015</v>
      </c>
      <c r="K8" s="30">
        <f t="shared" si="0"/>
        <v>8820.7000000000007</v>
      </c>
      <c r="L8" s="30">
        <f t="shared" si="0"/>
        <v>9452.6</v>
      </c>
      <c r="M8" s="30">
        <f t="shared" si="0"/>
        <v>9961.7999999999993</v>
      </c>
      <c r="N8" s="30">
        <f t="shared" si="0"/>
        <v>10208.699999999999</v>
      </c>
      <c r="O8" s="30">
        <f t="shared" ref="O8" si="1">SUM(O6,O7)</f>
        <v>10956.9</v>
      </c>
      <c r="P8" s="30">
        <f t="shared" ref="P8" si="2">SUM(P6,P7)</f>
        <v>10956.9</v>
      </c>
      <c r="Q8" s="30">
        <f t="shared" ref="Q8" si="3">SUM(Q6,Q7)</f>
        <v>10956.9</v>
      </c>
      <c r="R8" s="30">
        <f t="shared" ref="R8" si="4">SUM(R6,R7)</f>
        <v>10956.9</v>
      </c>
      <c r="S8" s="30">
        <f t="shared" ref="S8" si="5">SUM(S6,S7)</f>
        <v>10956.9</v>
      </c>
      <c r="T8" s="30">
        <f t="shared" ref="T8" si="6">SUM(T6,T7)</f>
        <v>10956.9</v>
      </c>
      <c r="U8" s="30">
        <f t="shared" ref="U8" si="7">SUM(U6,U7)</f>
        <v>10956.9</v>
      </c>
      <c r="V8" s="30">
        <f t="shared" ref="V8" si="8">SUM(V6,V7)</f>
        <v>10956.9</v>
      </c>
      <c r="W8" s="30">
        <f t="shared" ref="W8" si="9">SUM(W6,W7)</f>
        <v>10956.9</v>
      </c>
      <c r="X8" s="30">
        <f t="shared" ref="X8" si="10">SUM(X6,X7)</f>
        <v>10956.9</v>
      </c>
    </row>
    <row r="9" spans="3:24" x14ac:dyDescent="0.2">
      <c r="C9" t="s">
        <v>131</v>
      </c>
      <c r="D9" s="11">
        <v>-3449.4</v>
      </c>
      <c r="E9" s="11">
        <v>-3606.1</v>
      </c>
      <c r="F9" s="11">
        <v>-3802.1</v>
      </c>
      <c r="G9" s="11">
        <v>-3767.8</v>
      </c>
      <c r="H9" s="11">
        <v>-4035.7</v>
      </c>
      <c r="I9" s="11">
        <v>-4191.6000000000004</v>
      </c>
      <c r="J9" s="11">
        <v>-4148.8999999999996</v>
      </c>
      <c r="K9" s="11">
        <v>-4113.3999999999996</v>
      </c>
      <c r="L9" s="11">
        <v>-4683.6000000000004</v>
      </c>
      <c r="M9" s="11">
        <v>-4944.3</v>
      </c>
      <c r="N9" s="11">
        <v>-4894.1000000000004</v>
      </c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3:24" x14ac:dyDescent="0.2">
      <c r="C10" s="2" t="s">
        <v>132</v>
      </c>
      <c r="D10" s="30">
        <f>D8+D9</f>
        <v>2578.6</v>
      </c>
      <c r="E10" s="30">
        <f t="shared" ref="E10:N10" si="11">E8+E9</f>
        <v>2942.3000000000006</v>
      </c>
      <c r="F10" s="30">
        <f>F8+F9</f>
        <v>3518.9999999999995</v>
      </c>
      <c r="G10" s="30">
        <f t="shared" si="11"/>
        <v>3812.5</v>
      </c>
      <c r="H10" s="30">
        <f t="shared" si="11"/>
        <v>4080.2999999999993</v>
      </c>
      <c r="I10" s="30">
        <f t="shared" si="11"/>
        <v>4151.8999999999996</v>
      </c>
      <c r="J10" s="30">
        <f t="shared" si="11"/>
        <v>4466.0000000000018</v>
      </c>
      <c r="K10" s="30">
        <f t="shared" si="11"/>
        <v>4707.3000000000011</v>
      </c>
      <c r="L10" s="30">
        <f t="shared" si="11"/>
        <v>4769</v>
      </c>
      <c r="M10" s="30">
        <f t="shared" si="11"/>
        <v>5017.4999999999991</v>
      </c>
      <c r="N10" s="30">
        <f t="shared" si="11"/>
        <v>5314.5999999999985</v>
      </c>
      <c r="O10" s="30">
        <f t="shared" ref="O10" si="12">O8+O9</f>
        <v>10956.9</v>
      </c>
      <c r="P10" s="30">
        <f t="shared" ref="P10" si="13">P8+P9</f>
        <v>10956.9</v>
      </c>
      <c r="Q10" s="30">
        <f t="shared" ref="Q10" si="14">Q8+Q9</f>
        <v>10956.9</v>
      </c>
      <c r="R10" s="30">
        <f t="shared" ref="R10" si="15">R8+R9</f>
        <v>10956.9</v>
      </c>
      <c r="S10" s="30">
        <f t="shared" ref="S10" si="16">S8+S9</f>
        <v>10956.9</v>
      </c>
      <c r="T10" s="30">
        <f t="shared" ref="T10" si="17">T8+T9</f>
        <v>10956.9</v>
      </c>
      <c r="U10" s="30">
        <f t="shared" ref="U10" si="18">U8+U9</f>
        <v>10956.9</v>
      </c>
      <c r="V10" s="30">
        <f t="shared" ref="V10" si="19">V8+V9</f>
        <v>10956.9</v>
      </c>
      <c r="W10" s="30">
        <f t="shared" ref="W10" si="20">W8+W9</f>
        <v>10956.9</v>
      </c>
      <c r="X10" s="30">
        <f t="shared" ref="X10" si="21">X8+X9</f>
        <v>10956.9</v>
      </c>
    </row>
    <row r="11" spans="3:24" x14ac:dyDescent="0.2">
      <c r="C11" t="s">
        <v>133</v>
      </c>
      <c r="D11" s="11">
        <v>-1078.4000000000001</v>
      </c>
      <c r="E11" s="11">
        <v>-1177.2</v>
      </c>
      <c r="F11" s="11">
        <v>-1392.4</v>
      </c>
      <c r="G11" s="11">
        <v>-1532.7</v>
      </c>
      <c r="H11" s="11">
        <v>-1668.1</v>
      </c>
      <c r="I11" s="11">
        <v>-1621.8</v>
      </c>
      <c r="J11" s="11">
        <v>-1665.1</v>
      </c>
      <c r="K11" s="11">
        <v>-1709.7</v>
      </c>
      <c r="L11" s="11">
        <v>-1926.1</v>
      </c>
      <c r="M11" s="11">
        <v>-1847.8</v>
      </c>
      <c r="N11" s="11">
        <v>-1950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</row>
    <row r="12" spans="3:24" x14ac:dyDescent="0.2">
      <c r="C12" s="28" t="s">
        <v>168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-665.9</v>
      </c>
      <c r="L12" s="11">
        <v>0</v>
      </c>
      <c r="M12" s="11">
        <v>0</v>
      </c>
      <c r="N12" s="11">
        <v>0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</row>
    <row r="13" spans="3:24" x14ac:dyDescent="0.2">
      <c r="C13" s="28" t="s">
        <v>134</v>
      </c>
      <c r="D13" s="11">
        <v>0</v>
      </c>
      <c r="E13" s="11">
        <v>0</v>
      </c>
      <c r="F13" s="11">
        <v>0</v>
      </c>
      <c r="G13" s="11">
        <v>0</v>
      </c>
      <c r="H13" s="11">
        <v>0</v>
      </c>
      <c r="I13" s="11">
        <v>-449.7</v>
      </c>
      <c r="J13" s="11">
        <v>-24</v>
      </c>
      <c r="K13" s="11">
        <v>0</v>
      </c>
      <c r="L13" s="11">
        <v>0</v>
      </c>
      <c r="M13" s="11">
        <v>0</v>
      </c>
      <c r="N13" s="11">
        <v>-2797.7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</row>
    <row r="14" spans="3:24" x14ac:dyDescent="0.2">
      <c r="C14" s="28" t="s">
        <v>135</v>
      </c>
      <c r="D14" s="11">
        <v>0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/>
      <c r="K14" s="11">
        <v>0</v>
      </c>
      <c r="L14" s="11">
        <v>0</v>
      </c>
      <c r="M14" s="11">
        <v>0</v>
      </c>
      <c r="N14" s="11">
        <v>-478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</row>
    <row r="15" spans="3:24" x14ac:dyDescent="0.2">
      <c r="C15" s="28" t="s">
        <v>136</v>
      </c>
      <c r="D15" s="11">
        <v>0</v>
      </c>
      <c r="E15" s="11">
        <v>0</v>
      </c>
      <c r="F15" s="11">
        <v>262.39999999999998</v>
      </c>
      <c r="G15" s="11">
        <v>0</v>
      </c>
      <c r="H15" s="11">
        <v>0</v>
      </c>
      <c r="I15" s="11">
        <v>74.099999999999994</v>
      </c>
      <c r="J15" s="11">
        <v>14.2</v>
      </c>
      <c r="K15" s="11">
        <v>0</v>
      </c>
      <c r="L15" s="11">
        <v>0</v>
      </c>
      <c r="M15" s="11">
        <v>0</v>
      </c>
      <c r="N15" s="11">
        <v>266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</row>
    <row r="16" spans="3:24" x14ac:dyDescent="0.2">
      <c r="C16" s="2" t="s">
        <v>137</v>
      </c>
      <c r="D16" s="30">
        <f t="shared" ref="D16:N16" si="22">SUM(D10:D15)</f>
        <v>1500.1999999999998</v>
      </c>
      <c r="E16" s="30">
        <f t="shared" si="22"/>
        <v>1765.1000000000006</v>
      </c>
      <c r="F16" s="30">
        <f t="shared" si="22"/>
        <v>2388.9999999999995</v>
      </c>
      <c r="G16" s="30">
        <f t="shared" si="22"/>
        <v>2279.8000000000002</v>
      </c>
      <c r="H16" s="30">
        <f t="shared" si="22"/>
        <v>2412.1999999999994</v>
      </c>
      <c r="I16" s="30">
        <f t="shared" si="22"/>
        <v>2154.4999999999995</v>
      </c>
      <c r="J16" s="30">
        <f t="shared" si="22"/>
        <v>2791.1000000000017</v>
      </c>
      <c r="K16" s="30">
        <f t="shared" si="22"/>
        <v>2331.7000000000012</v>
      </c>
      <c r="L16" s="30">
        <f t="shared" si="22"/>
        <v>2842.9</v>
      </c>
      <c r="M16" s="30">
        <f t="shared" si="22"/>
        <v>3169.6999999999989</v>
      </c>
      <c r="N16" s="30">
        <f t="shared" si="22"/>
        <v>354.89999999999873</v>
      </c>
      <c r="O16" s="30">
        <f t="shared" ref="O16" si="23">SUM(O10:O15)</f>
        <v>10956.9</v>
      </c>
      <c r="P16" s="30">
        <f t="shared" ref="P16" si="24">SUM(P10:P15)</f>
        <v>10956.9</v>
      </c>
      <c r="Q16" s="30">
        <f t="shared" ref="Q16" si="25">SUM(Q10:Q15)</f>
        <v>10956.9</v>
      </c>
      <c r="R16" s="30">
        <f t="shared" ref="R16" si="26">SUM(R10:R15)</f>
        <v>10956.9</v>
      </c>
      <c r="S16" s="30">
        <f t="shared" ref="S16" si="27">SUM(S10:S15)</f>
        <v>10956.9</v>
      </c>
      <c r="T16" s="30">
        <f t="shared" ref="T16" si="28">SUM(T10:T15)</f>
        <v>10956.9</v>
      </c>
      <c r="U16" s="30">
        <f t="shared" ref="U16" si="29">SUM(U10:U15)</f>
        <v>10956.9</v>
      </c>
      <c r="V16" s="30">
        <f t="shared" ref="V16" si="30">SUM(V10:V15)</f>
        <v>10956.9</v>
      </c>
      <c r="W16" s="30">
        <f t="shared" ref="W16" si="31">SUM(W10:W15)</f>
        <v>10956.9</v>
      </c>
      <c r="X16" s="30">
        <f t="shared" ref="X16" si="32">SUM(X10:X15)</f>
        <v>10956.9</v>
      </c>
    </row>
    <row r="17" spans="3:24" x14ac:dyDescent="0.2">
      <c r="C17" s="28" t="s">
        <v>138</v>
      </c>
      <c r="D17" s="11">
        <v>21.5</v>
      </c>
      <c r="E17" s="11">
        <v>51.1</v>
      </c>
      <c r="F17" s="11">
        <v>27.3</v>
      </c>
      <c r="G17" s="11">
        <v>487.2</v>
      </c>
      <c r="H17" s="11">
        <v>2101.6</v>
      </c>
      <c r="I17" s="11">
        <v>-2668.6</v>
      </c>
      <c r="J17" s="11">
        <v>150.30000000000001</v>
      </c>
      <c r="K17" s="11">
        <v>-1635.5</v>
      </c>
      <c r="L17" s="11">
        <v>-2036.4</v>
      </c>
      <c r="M17" s="11">
        <v>-511.8</v>
      </c>
      <c r="N17" s="11">
        <v>-26.3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</row>
    <row r="18" spans="3:24" x14ac:dyDescent="0.2">
      <c r="C18" s="28" t="s">
        <v>36</v>
      </c>
      <c r="D18" s="11">
        <v>-337.7</v>
      </c>
      <c r="E18" s="11">
        <v>-313.89999999999998</v>
      </c>
      <c r="F18" s="11">
        <v>-333.3</v>
      </c>
      <c r="G18" s="11">
        <v>-332</v>
      </c>
      <c r="H18" s="11">
        <v>-367.1</v>
      </c>
      <c r="I18" s="11">
        <v>-428.7</v>
      </c>
      <c r="J18" s="11">
        <v>-385.7</v>
      </c>
      <c r="K18" s="11">
        <v>-356.4</v>
      </c>
      <c r="L18" s="11">
        <v>-398.7</v>
      </c>
      <c r="M18" s="11">
        <v>-435.4</v>
      </c>
      <c r="N18" s="11">
        <v>-411.4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</row>
    <row r="19" spans="3:24" x14ac:dyDescent="0.2">
      <c r="C19" s="28" t="s">
        <v>167</v>
      </c>
      <c r="D19" s="11">
        <v>-4.4000000000000004</v>
      </c>
      <c r="E19" s="11">
        <v>-1.1000000000000001</v>
      </c>
      <c r="F19" s="11">
        <v>0</v>
      </c>
      <c r="G19" s="11">
        <v>-97</v>
      </c>
      <c r="H19" s="11">
        <v>-1.7</v>
      </c>
      <c r="I19" s="11">
        <v>-2.4</v>
      </c>
      <c r="J19" s="11">
        <v>-12.8</v>
      </c>
      <c r="K19" s="11">
        <v>-29.4</v>
      </c>
      <c r="L19" s="11">
        <v>-24.2</v>
      </c>
      <c r="M19" s="11">
        <v>-0.7</v>
      </c>
      <c r="N19" s="11">
        <v>0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</row>
    <row r="20" spans="3:24" x14ac:dyDescent="0.2">
      <c r="C20" s="2" t="s">
        <v>139</v>
      </c>
      <c r="D20" s="30">
        <f>SUM(D16:D19)</f>
        <v>1179.5999999999997</v>
      </c>
      <c r="E20" s="30">
        <f t="shared" ref="E20:X20" si="33">SUM(E16:E19)</f>
        <v>1501.2000000000007</v>
      </c>
      <c r="F20" s="30">
        <f t="shared" si="33"/>
        <v>2082.9999999999995</v>
      </c>
      <c r="G20" s="30">
        <f t="shared" si="33"/>
        <v>2338</v>
      </c>
      <c r="H20" s="30">
        <f t="shared" si="33"/>
        <v>4144.9999999999991</v>
      </c>
      <c r="I20" s="30">
        <f t="shared" si="33"/>
        <v>-945.20000000000039</v>
      </c>
      <c r="J20" s="30">
        <f t="shared" si="33"/>
        <v>2542.9000000000019</v>
      </c>
      <c r="K20" s="30">
        <f t="shared" si="33"/>
        <v>310.40000000000123</v>
      </c>
      <c r="L20" s="30">
        <f t="shared" si="33"/>
        <v>383.6</v>
      </c>
      <c r="M20" s="30">
        <f t="shared" si="33"/>
        <v>2221.7999999999988</v>
      </c>
      <c r="N20" s="30">
        <f t="shared" si="33"/>
        <v>-82.800000000001262</v>
      </c>
      <c r="O20" s="30">
        <f t="shared" si="33"/>
        <v>10956.9</v>
      </c>
      <c r="P20" s="30">
        <f t="shared" si="33"/>
        <v>10956.9</v>
      </c>
      <c r="Q20" s="30">
        <f t="shared" si="33"/>
        <v>10956.9</v>
      </c>
      <c r="R20" s="30">
        <f t="shared" si="33"/>
        <v>10956.9</v>
      </c>
      <c r="S20" s="30">
        <f t="shared" si="33"/>
        <v>10956.9</v>
      </c>
      <c r="T20" s="30">
        <f t="shared" si="33"/>
        <v>10956.9</v>
      </c>
      <c r="U20" s="30">
        <f t="shared" si="33"/>
        <v>10956.9</v>
      </c>
      <c r="V20" s="30">
        <f t="shared" si="33"/>
        <v>10956.9</v>
      </c>
      <c r="W20" s="30">
        <f t="shared" si="33"/>
        <v>10956.9</v>
      </c>
      <c r="X20" s="30">
        <f t="shared" si="33"/>
        <v>10956.9</v>
      </c>
    </row>
    <row r="21" spans="3:24" x14ac:dyDescent="0.2">
      <c r="C21" s="28" t="s">
        <v>140</v>
      </c>
      <c r="D21" s="11">
        <v>-343.4</v>
      </c>
      <c r="E21" s="11">
        <v>-440.6</v>
      </c>
      <c r="F21" s="11">
        <v>-550.29999999999995</v>
      </c>
      <c r="G21" s="11">
        <v>-22.7</v>
      </c>
      <c r="H21" s="11">
        <v>-685.9</v>
      </c>
      <c r="I21" s="11">
        <v>966.6</v>
      </c>
      <c r="J21" s="11">
        <v>-511.1</v>
      </c>
      <c r="K21" s="11">
        <v>-309.39999999999998</v>
      </c>
      <c r="L21" s="11">
        <v>-422.1</v>
      </c>
      <c r="M21" s="11">
        <v>-456.6</v>
      </c>
      <c r="N21" s="11">
        <v>51.7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</row>
    <row r="22" spans="3:24" x14ac:dyDescent="0.2">
      <c r="C22" s="2" t="s">
        <v>141</v>
      </c>
      <c r="D22" s="30">
        <f>SUM(D20:D21)</f>
        <v>836.1999999999997</v>
      </c>
      <c r="E22" s="30">
        <f t="shared" ref="E22:N22" si="34">SUM(E20:E21)</f>
        <v>1060.6000000000008</v>
      </c>
      <c r="F22" s="30">
        <f t="shared" si="34"/>
        <v>1532.6999999999996</v>
      </c>
      <c r="G22" s="30">
        <f t="shared" si="34"/>
        <v>2315.3000000000002</v>
      </c>
      <c r="H22" s="30">
        <f t="shared" si="34"/>
        <v>3459.099999999999</v>
      </c>
      <c r="I22" s="30">
        <f t="shared" si="34"/>
        <v>21.399999999999636</v>
      </c>
      <c r="J22" s="30">
        <f t="shared" si="34"/>
        <v>2031.800000000002</v>
      </c>
      <c r="K22" s="30">
        <f t="shared" si="34"/>
        <v>1.0000000000012506</v>
      </c>
      <c r="L22" s="30">
        <f t="shared" si="34"/>
        <v>-38.5</v>
      </c>
      <c r="M22" s="30">
        <f t="shared" si="34"/>
        <v>1765.1999999999989</v>
      </c>
      <c r="N22" s="30">
        <f t="shared" si="34"/>
        <v>-31.100000000001259</v>
      </c>
      <c r="O22" s="30">
        <f t="shared" ref="O22" si="35">SUM(O20:O21)</f>
        <v>10956.9</v>
      </c>
      <c r="P22" s="30">
        <f t="shared" ref="P22" si="36">SUM(P20:P21)</f>
        <v>10956.9</v>
      </c>
      <c r="Q22" s="30">
        <f t="shared" ref="Q22" si="37">SUM(Q20:Q21)</f>
        <v>10956.9</v>
      </c>
      <c r="R22" s="30">
        <f t="shared" ref="R22" si="38">SUM(R20:R21)</f>
        <v>10956.9</v>
      </c>
      <c r="S22" s="30">
        <f t="shared" ref="S22" si="39">SUM(S20:S21)</f>
        <v>10956.9</v>
      </c>
      <c r="T22" s="30">
        <f t="shared" ref="T22" si="40">SUM(T20:T21)</f>
        <v>10956.9</v>
      </c>
      <c r="U22" s="30">
        <f t="shared" ref="U22" si="41">SUM(U20:U21)</f>
        <v>10956.9</v>
      </c>
      <c r="V22" s="30">
        <f t="shared" ref="V22" si="42">SUM(V20:V21)</f>
        <v>10956.9</v>
      </c>
      <c r="W22" s="30">
        <f t="shared" ref="W22" si="43">SUM(W20:W21)</f>
        <v>10956.9</v>
      </c>
      <c r="X22" s="30">
        <f t="shared" ref="X22" si="44">SUM(X20:X21)</f>
        <v>10956.9</v>
      </c>
    </row>
    <row r="23" spans="3:24" x14ac:dyDescent="0.2">
      <c r="C23" s="28" t="s">
        <v>142</v>
      </c>
      <c r="D23" s="11">
        <v>3.1</v>
      </c>
      <c r="E23" s="11">
        <v>-5.7</v>
      </c>
      <c r="F23" s="11">
        <v>-4.0999999999999996</v>
      </c>
      <c r="G23" s="11">
        <v>-11.9</v>
      </c>
      <c r="H23" s="11">
        <v>-23.2</v>
      </c>
      <c r="I23" s="11">
        <v>-33.200000000000003</v>
      </c>
      <c r="J23" s="11">
        <v>-33.799999999999997</v>
      </c>
      <c r="K23" s="11">
        <v>-41.4</v>
      </c>
      <c r="L23" s="11">
        <v>-32.5</v>
      </c>
      <c r="M23" s="11">
        <v>-37.799999999999997</v>
      </c>
      <c r="N23" s="11">
        <v>-50.3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3:24" ht="17" thickBot="1" x14ac:dyDescent="0.25">
      <c r="C24" s="2" t="s">
        <v>143</v>
      </c>
      <c r="D24" s="29">
        <f>SUM(D22:D23)</f>
        <v>839.29999999999973</v>
      </c>
      <c r="E24" s="29">
        <f t="shared" ref="E24:N24" si="45">SUM(E22:E23)</f>
        <v>1054.9000000000008</v>
      </c>
      <c r="F24" s="29">
        <f t="shared" si="45"/>
        <v>1528.5999999999997</v>
      </c>
      <c r="G24" s="29">
        <f t="shared" si="45"/>
        <v>2303.4</v>
      </c>
      <c r="H24" s="29">
        <f t="shared" si="45"/>
        <v>3435.8999999999992</v>
      </c>
      <c r="I24" s="29">
        <f t="shared" si="45"/>
        <v>-11.800000000000367</v>
      </c>
      <c r="J24" s="29">
        <f t="shared" si="45"/>
        <v>1998.000000000002</v>
      </c>
      <c r="K24" s="29">
        <f t="shared" si="45"/>
        <v>-40.399999999998748</v>
      </c>
      <c r="L24" s="29">
        <f t="shared" si="45"/>
        <v>-71</v>
      </c>
      <c r="M24" s="29">
        <f t="shared" si="45"/>
        <v>1727.399999999999</v>
      </c>
      <c r="N24" s="29">
        <f t="shared" si="45"/>
        <v>-81.400000000001256</v>
      </c>
      <c r="O24" s="29">
        <f t="shared" ref="O24" si="46">SUM(O22:O23)</f>
        <v>10956.9</v>
      </c>
      <c r="P24" s="29">
        <f t="shared" ref="P24" si="47">SUM(P22:P23)</f>
        <v>10956.9</v>
      </c>
      <c r="Q24" s="29">
        <f t="shared" ref="Q24" si="48">SUM(Q22:Q23)</f>
        <v>10956.9</v>
      </c>
      <c r="R24" s="29">
        <f t="shared" ref="R24" si="49">SUM(R22:R23)</f>
        <v>10956.9</v>
      </c>
      <c r="S24" s="29">
        <f t="shared" ref="S24" si="50">SUM(S22:S23)</f>
        <v>10956.9</v>
      </c>
      <c r="T24" s="29">
        <f t="shared" ref="T24" si="51">SUM(T22:T23)</f>
        <v>10956.9</v>
      </c>
      <c r="U24" s="29">
        <f t="shared" ref="U24" si="52">SUM(U22:U23)</f>
        <v>10956.9</v>
      </c>
      <c r="V24" s="29">
        <f t="shared" ref="V24" si="53">SUM(V22:V23)</f>
        <v>10956.9</v>
      </c>
      <c r="W24" s="29">
        <f t="shared" ref="W24" si="54">SUM(W22:W23)</f>
        <v>10956.9</v>
      </c>
      <c r="X24" s="29">
        <f t="shared" ref="X24" si="55">SUM(X22:X23)</f>
        <v>10956.9</v>
      </c>
    </row>
    <row r="26" spans="3:24" x14ac:dyDescent="0.2">
      <c r="C26" s="2" t="s">
        <v>154</v>
      </c>
    </row>
    <row r="27" spans="3:24" x14ac:dyDescent="0.2">
      <c r="C27" t="s">
        <v>155</v>
      </c>
      <c r="D27" s="31">
        <f>D22</f>
        <v>836.1999999999997</v>
      </c>
      <c r="E27" s="31">
        <f t="shared" ref="E27:X27" si="56">E22</f>
        <v>1060.6000000000008</v>
      </c>
      <c r="F27" s="31">
        <f>F22</f>
        <v>1532.6999999999996</v>
      </c>
      <c r="G27" s="31">
        <f t="shared" si="56"/>
        <v>2315.3000000000002</v>
      </c>
      <c r="H27" s="31">
        <f t="shared" si="56"/>
        <v>3459.099999999999</v>
      </c>
      <c r="I27" s="31">
        <f t="shared" si="56"/>
        <v>21.399999999999636</v>
      </c>
      <c r="J27" s="31">
        <f t="shared" si="56"/>
        <v>2031.800000000002</v>
      </c>
      <c r="K27" s="31">
        <f t="shared" si="56"/>
        <v>1.0000000000012506</v>
      </c>
      <c r="L27" s="31">
        <f t="shared" si="56"/>
        <v>-38.5</v>
      </c>
      <c r="M27" s="31">
        <f t="shared" si="56"/>
        <v>1765.1999999999989</v>
      </c>
      <c r="N27" s="31">
        <f t="shared" si="56"/>
        <v>-31.100000000001259</v>
      </c>
      <c r="O27" s="31">
        <f t="shared" si="56"/>
        <v>10956.9</v>
      </c>
      <c r="P27" s="31">
        <f t="shared" si="56"/>
        <v>10956.9</v>
      </c>
      <c r="Q27" s="31">
        <f t="shared" si="56"/>
        <v>10956.9</v>
      </c>
      <c r="R27" s="31">
        <f t="shared" si="56"/>
        <v>10956.9</v>
      </c>
      <c r="S27" s="31">
        <f t="shared" si="56"/>
        <v>10956.9</v>
      </c>
      <c r="T27" s="31">
        <f t="shared" si="56"/>
        <v>10956.9</v>
      </c>
      <c r="U27" s="31">
        <f t="shared" si="56"/>
        <v>10956.9</v>
      </c>
      <c r="V27" s="31">
        <f t="shared" si="56"/>
        <v>10956.9</v>
      </c>
      <c r="W27" s="31">
        <f t="shared" si="56"/>
        <v>10956.9</v>
      </c>
      <c r="X27" s="31">
        <f t="shared" si="56"/>
        <v>10956.9</v>
      </c>
    </row>
    <row r="28" spans="3:24" x14ac:dyDescent="0.2">
      <c r="C28" s="2" t="s">
        <v>156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</row>
    <row r="29" spans="3:24" x14ac:dyDescent="0.2">
      <c r="C29" s="3" t="s">
        <v>157</v>
      </c>
      <c r="D29" s="11">
        <v>-191</v>
      </c>
      <c r="E29" s="11">
        <v>-323.3</v>
      </c>
      <c r="F29" s="11">
        <v>22.1</v>
      </c>
      <c r="G29" s="11">
        <v>153.80000000000001</v>
      </c>
      <c r="H29" s="11">
        <v>-196.8</v>
      </c>
      <c r="I29" s="11">
        <v>60.8</v>
      </c>
      <c r="J29" s="11">
        <v>-56</v>
      </c>
      <c r="K29" s="11">
        <v>-40.4</v>
      </c>
      <c r="L29" s="11">
        <v>274.60000000000002</v>
      </c>
      <c r="M29" s="11">
        <v>293.10000000000002</v>
      </c>
      <c r="N29" s="11">
        <v>-818.7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</row>
    <row r="30" spans="3:24" x14ac:dyDescent="0.2">
      <c r="C30" s="3" t="s">
        <v>158</v>
      </c>
      <c r="D30" s="11">
        <v>-20.2</v>
      </c>
      <c r="E30" s="11">
        <v>-17.2</v>
      </c>
      <c r="F30" s="11">
        <v>7.8</v>
      </c>
      <c r="G30" s="11">
        <v>55.5</v>
      </c>
      <c r="H30" s="11">
        <v>11.4</v>
      </c>
      <c r="I30" s="11">
        <v>40.4</v>
      </c>
      <c r="J30" s="11">
        <v>-20.9</v>
      </c>
      <c r="K30" s="11">
        <v>-27.8</v>
      </c>
      <c r="L30" s="11">
        <v>188.6</v>
      </c>
      <c r="M30" s="11">
        <v>70</v>
      </c>
      <c r="N30" s="11">
        <v>-256.60000000000002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</row>
    <row r="31" spans="3:24" x14ac:dyDescent="0.2">
      <c r="C31" s="3" t="s">
        <v>166</v>
      </c>
      <c r="D31" s="11">
        <v>-1</v>
      </c>
      <c r="E31" s="11">
        <v>-0.3</v>
      </c>
      <c r="F31" s="11">
        <v>0.5</v>
      </c>
      <c r="G31" s="11">
        <v>-0.2</v>
      </c>
      <c r="H31" s="11">
        <v>2.5</v>
      </c>
      <c r="I31" s="11">
        <v>0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</row>
    <row r="32" spans="3:24" x14ac:dyDescent="0.2">
      <c r="C32" s="3" t="s">
        <v>159</v>
      </c>
      <c r="D32" s="11">
        <v>-6</v>
      </c>
      <c r="E32" s="11">
        <v>0.1</v>
      </c>
      <c r="F32" s="11">
        <v>11.6</v>
      </c>
      <c r="G32" s="11">
        <v>-1.1000000000000001</v>
      </c>
      <c r="H32" s="11">
        <v>0.5</v>
      </c>
      <c r="I32" s="11">
        <v>-0.6</v>
      </c>
      <c r="J32" s="11">
        <v>-1.6</v>
      </c>
      <c r="K32" s="11">
        <v>0.3</v>
      </c>
      <c r="L32" s="11">
        <v>0.1</v>
      </c>
      <c r="M32" s="11">
        <v>1.2</v>
      </c>
      <c r="N32" s="11">
        <v>2.2000000000000002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</row>
    <row r="33" spans="3:24" x14ac:dyDescent="0.2">
      <c r="C33" s="3" t="s">
        <v>160</v>
      </c>
      <c r="D33" s="11">
        <v>0</v>
      </c>
      <c r="E33" s="11">
        <v>0</v>
      </c>
      <c r="F33" s="11">
        <v>0</v>
      </c>
      <c r="G33" s="11"/>
      <c r="H33" s="11">
        <v>29.6</v>
      </c>
      <c r="I33" s="11">
        <v>-10.1</v>
      </c>
      <c r="J33" s="11">
        <v>-1.8</v>
      </c>
      <c r="K33" s="11">
        <v>-12.5</v>
      </c>
      <c r="L33" s="11">
        <v>5.0999999999999996</v>
      </c>
      <c r="M33" s="11">
        <v>0</v>
      </c>
      <c r="N33" s="11">
        <v>-10.6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</row>
    <row r="34" spans="3:24" x14ac:dyDescent="0.2">
      <c r="C34" s="15" t="s">
        <v>161</v>
      </c>
      <c r="D34" s="11">
        <f>SUM(D29:D33)</f>
        <v>-218.2</v>
      </c>
      <c r="E34" s="11">
        <f>SUM(E29:E33)</f>
        <v>-340.7</v>
      </c>
      <c r="F34" s="11">
        <f t="shared" ref="F34:X34" si="57">SUM(F29:F33)</f>
        <v>42</v>
      </c>
      <c r="G34" s="11">
        <f t="shared" si="57"/>
        <v>208.00000000000003</v>
      </c>
      <c r="H34" s="11">
        <f t="shared" si="57"/>
        <v>-152.80000000000001</v>
      </c>
      <c r="I34" s="11">
        <f t="shared" si="57"/>
        <v>90.5</v>
      </c>
      <c r="J34" s="11">
        <f t="shared" si="57"/>
        <v>-80.3</v>
      </c>
      <c r="K34" s="11">
        <f t="shared" si="57"/>
        <v>-80.400000000000006</v>
      </c>
      <c r="L34" s="11">
        <f t="shared" si="57"/>
        <v>468.40000000000009</v>
      </c>
      <c r="M34" s="11">
        <f t="shared" si="57"/>
        <v>364.3</v>
      </c>
      <c r="N34" s="11">
        <f>SUM(N29:N33)</f>
        <v>-1083.7</v>
      </c>
      <c r="O34" s="11">
        <f t="shared" si="57"/>
        <v>0</v>
      </c>
      <c r="P34" s="11">
        <f t="shared" si="57"/>
        <v>0</v>
      </c>
      <c r="Q34" s="11">
        <f t="shared" si="57"/>
        <v>0</v>
      </c>
      <c r="R34" s="11">
        <f t="shared" si="57"/>
        <v>0</v>
      </c>
      <c r="S34" s="11">
        <f t="shared" si="57"/>
        <v>0</v>
      </c>
      <c r="T34" s="11">
        <f t="shared" si="57"/>
        <v>0</v>
      </c>
      <c r="U34" s="11">
        <f t="shared" si="57"/>
        <v>0</v>
      </c>
      <c r="V34" s="11">
        <f t="shared" si="57"/>
        <v>0</v>
      </c>
      <c r="W34" s="11">
        <f t="shared" si="57"/>
        <v>0</v>
      </c>
      <c r="X34" s="11">
        <f t="shared" si="57"/>
        <v>0</v>
      </c>
    </row>
    <row r="35" spans="3:24" x14ac:dyDescent="0.2">
      <c r="C35" s="9" t="s">
        <v>162</v>
      </c>
      <c r="D35" s="32">
        <f>SUM(D27,D34)</f>
        <v>617.99999999999977</v>
      </c>
      <c r="E35" s="32">
        <f t="shared" ref="E35:X35" si="58">SUM(E27,E34)</f>
        <v>719.90000000000077</v>
      </c>
      <c r="F35" s="32">
        <f t="shared" si="58"/>
        <v>1574.6999999999996</v>
      </c>
      <c r="G35" s="32">
        <f t="shared" si="58"/>
        <v>2523.3000000000002</v>
      </c>
      <c r="H35" s="32">
        <f t="shared" si="58"/>
        <v>3306.2999999999988</v>
      </c>
      <c r="I35" s="32">
        <f t="shared" si="58"/>
        <v>111.89999999999964</v>
      </c>
      <c r="J35" s="32">
        <f t="shared" si="58"/>
        <v>1951.500000000002</v>
      </c>
      <c r="K35" s="32">
        <f t="shared" si="58"/>
        <v>-79.399999999998755</v>
      </c>
      <c r="L35" s="32">
        <f t="shared" si="58"/>
        <v>429.90000000000009</v>
      </c>
      <c r="M35" s="32">
        <f t="shared" si="58"/>
        <v>2129.4999999999991</v>
      </c>
      <c r="N35" s="32">
        <f t="shared" si="58"/>
        <v>-1114.8000000000013</v>
      </c>
      <c r="O35" s="32">
        <f t="shared" si="58"/>
        <v>10956.9</v>
      </c>
      <c r="P35" s="32">
        <f t="shared" si="58"/>
        <v>10956.9</v>
      </c>
      <c r="Q35" s="32">
        <f t="shared" si="58"/>
        <v>10956.9</v>
      </c>
      <c r="R35" s="32">
        <f t="shared" si="58"/>
        <v>10956.9</v>
      </c>
      <c r="S35" s="32">
        <f t="shared" si="58"/>
        <v>10956.9</v>
      </c>
      <c r="T35" s="32">
        <f t="shared" si="58"/>
        <v>10956.9</v>
      </c>
      <c r="U35" s="32">
        <f t="shared" si="58"/>
        <v>10956.9</v>
      </c>
      <c r="V35" s="32">
        <f t="shared" si="58"/>
        <v>10956.9</v>
      </c>
      <c r="W35" s="32">
        <f t="shared" si="58"/>
        <v>10956.9</v>
      </c>
      <c r="X35" s="32">
        <f t="shared" si="58"/>
        <v>10956.9</v>
      </c>
    </row>
    <row r="36" spans="3:24" x14ac:dyDescent="0.2">
      <c r="C36" s="15" t="s">
        <v>163</v>
      </c>
      <c r="D36" s="11">
        <v>4.4000000000000004</v>
      </c>
      <c r="E36" s="11">
        <v>13.4</v>
      </c>
      <c r="F36" s="11">
        <v>6.6</v>
      </c>
      <c r="G36" s="11">
        <v>-23</v>
      </c>
      <c r="H36" s="11">
        <v>-21.4</v>
      </c>
      <c r="I36" s="11">
        <v>-36.1</v>
      </c>
      <c r="J36" s="11">
        <v>-22.7</v>
      </c>
      <c r="K36" s="11">
        <v>-38.200000000000003</v>
      </c>
      <c r="L36" s="11">
        <v>-59.7</v>
      </c>
      <c r="M36" s="11">
        <v>-53.8</v>
      </c>
      <c r="N36" s="11">
        <v>-6.1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</row>
    <row r="37" spans="3:24" ht="17" thickBot="1" x14ac:dyDescent="0.25">
      <c r="C37" s="2" t="s">
        <v>164</v>
      </c>
      <c r="D37" s="33">
        <f>D35+D36</f>
        <v>622.39999999999975</v>
      </c>
      <c r="E37" s="33">
        <f t="shared" ref="E37:X37" si="59">E35+E36</f>
        <v>733.30000000000075</v>
      </c>
      <c r="F37" s="33">
        <f t="shared" si="59"/>
        <v>1581.2999999999995</v>
      </c>
      <c r="G37" s="33">
        <f t="shared" si="59"/>
        <v>2500.3000000000002</v>
      </c>
      <c r="H37" s="33">
        <f t="shared" si="59"/>
        <v>3284.8999999999987</v>
      </c>
      <c r="I37" s="33">
        <f t="shared" si="59"/>
        <v>75.799999999999642</v>
      </c>
      <c r="J37" s="33">
        <f t="shared" si="59"/>
        <v>1928.800000000002</v>
      </c>
      <c r="K37" s="33">
        <f t="shared" si="59"/>
        <v>-117.59999999999876</v>
      </c>
      <c r="L37" s="33">
        <f t="shared" si="59"/>
        <v>370.2000000000001</v>
      </c>
      <c r="M37" s="33">
        <f t="shared" si="59"/>
        <v>2075.6999999999989</v>
      </c>
      <c r="N37" s="33">
        <f t="shared" si="59"/>
        <v>-1120.9000000000012</v>
      </c>
      <c r="O37" s="33">
        <f t="shared" si="59"/>
        <v>10956.9</v>
      </c>
      <c r="P37" s="33">
        <f t="shared" si="59"/>
        <v>10956.9</v>
      </c>
      <c r="Q37" s="33">
        <f t="shared" si="59"/>
        <v>10956.9</v>
      </c>
      <c r="R37" s="33">
        <f t="shared" si="59"/>
        <v>10956.9</v>
      </c>
      <c r="S37" s="33">
        <f t="shared" si="59"/>
        <v>10956.9</v>
      </c>
      <c r="T37" s="33">
        <f t="shared" si="59"/>
        <v>10956.9</v>
      </c>
      <c r="U37" s="33">
        <f t="shared" si="59"/>
        <v>10956.9</v>
      </c>
      <c r="V37" s="33">
        <f t="shared" si="59"/>
        <v>10956.9</v>
      </c>
      <c r="W37" s="33">
        <f t="shared" si="59"/>
        <v>10956.9</v>
      </c>
      <c r="X37" s="33">
        <f t="shared" si="59"/>
        <v>10956.9</v>
      </c>
    </row>
    <row r="38" spans="3:24" ht="17" thickTop="1" x14ac:dyDescent="0.2"/>
    <row r="39" spans="3:24" x14ac:dyDescent="0.2">
      <c r="C39" s="2" t="s">
        <v>144</v>
      </c>
    </row>
    <row r="40" spans="3:24" x14ac:dyDescent="0.2">
      <c r="C40" t="s">
        <v>145</v>
      </c>
      <c r="D40" s="7">
        <v>4.4000000000000004</v>
      </c>
      <c r="E40" s="7">
        <v>5.42</v>
      </c>
      <c r="F40" s="7">
        <v>7.79</v>
      </c>
      <c r="G40" s="7">
        <v>12.04</v>
      </c>
      <c r="H40" s="7">
        <v>18.239999999999998</v>
      </c>
      <c r="I40" s="7">
        <v>-7.0000000000000007E-2</v>
      </c>
      <c r="J40" s="7">
        <v>10.44</v>
      </c>
      <c r="K40" s="7">
        <v>-0.22</v>
      </c>
      <c r="L40" s="7">
        <v>-0.11</v>
      </c>
      <c r="M40" s="7">
        <f>M24/M46</f>
        <v>9.4235353805364728</v>
      </c>
      <c r="N40" s="7">
        <f>N24/N46</f>
        <v>-0.44854416010933268</v>
      </c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3:24" x14ac:dyDescent="0.2">
      <c r="C41" s="28" t="s">
        <v>146</v>
      </c>
      <c r="D41" s="11">
        <v>4</v>
      </c>
      <c r="E41" s="11">
        <v>4.92</v>
      </c>
      <c r="F41" s="11">
        <v>7.07</v>
      </c>
      <c r="G41" s="11">
        <v>10.93</v>
      </c>
      <c r="H41" s="11">
        <v>16.57</v>
      </c>
      <c r="I41" s="11">
        <v>-7.0000000000000007E-2</v>
      </c>
      <c r="J41" s="11">
        <v>9.48</v>
      </c>
      <c r="K41" s="11">
        <v>-0.22</v>
      </c>
      <c r="L41" s="11">
        <v>-2.02</v>
      </c>
      <c r="M41" s="11" t="s">
        <v>169</v>
      </c>
      <c r="N41" s="11" t="s">
        <v>169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</row>
    <row r="42" spans="3:24" x14ac:dyDescent="0.2">
      <c r="C42" s="28" t="s">
        <v>147</v>
      </c>
      <c r="D42" s="7">
        <v>4.17</v>
      </c>
      <c r="E42" s="7">
        <v>5.18</v>
      </c>
      <c r="F42" s="7">
        <v>7.52</v>
      </c>
      <c r="G42" s="7">
        <v>11.55</v>
      </c>
      <c r="H42" s="7">
        <v>17.57</v>
      </c>
      <c r="I42" s="7">
        <v>-7.0000000000000007E-2</v>
      </c>
      <c r="J42" s="7">
        <v>10.23</v>
      </c>
      <c r="K42" s="7">
        <v>-0.22</v>
      </c>
      <c r="L42" s="7">
        <v>-0.11</v>
      </c>
      <c r="M42" s="7">
        <f>M24/M48</f>
        <v>9.3901358454873041</v>
      </c>
      <c r="N42" s="7">
        <f>N24/N48</f>
        <v>-0.44854416010933268</v>
      </c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3:24" x14ac:dyDescent="0.2">
      <c r="C43" s="28" t="s">
        <v>148</v>
      </c>
      <c r="D43" s="11">
        <v>3.83</v>
      </c>
      <c r="E43" s="11">
        <v>4.79</v>
      </c>
      <c r="F43" s="11">
        <v>6.93</v>
      </c>
      <c r="G43" s="11">
        <v>10.66</v>
      </c>
      <c r="H43" s="11">
        <v>1621</v>
      </c>
      <c r="I43" s="11">
        <v>-7.0000000000000007E-2</v>
      </c>
      <c r="J43" s="11">
        <v>9.42</v>
      </c>
      <c r="K43" s="11">
        <v>-0.22</v>
      </c>
      <c r="L43" s="11">
        <v>-2.02</v>
      </c>
      <c r="M43" s="11" t="s">
        <v>169</v>
      </c>
      <c r="N43" s="11" t="s">
        <v>169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</row>
    <row r="45" spans="3:24" x14ac:dyDescent="0.2">
      <c r="C45" s="2" t="s">
        <v>149</v>
      </c>
    </row>
    <row r="46" spans="3:24" x14ac:dyDescent="0.2">
      <c r="C46" t="s">
        <v>145</v>
      </c>
      <c r="D46" s="34">
        <v>169.22499999999999</v>
      </c>
      <c r="E46">
        <v>173.38300000000001</v>
      </c>
      <c r="F46">
        <v>175.934</v>
      </c>
      <c r="G46">
        <v>171.45699999999999</v>
      </c>
      <c r="H46">
        <v>167.249</v>
      </c>
      <c r="I46" s="34">
        <v>168.32900000000001</v>
      </c>
      <c r="J46" s="35">
        <v>170.239</v>
      </c>
      <c r="K46">
        <v>167.43100000000001</v>
      </c>
      <c r="L46">
        <v>169.33699999999999</v>
      </c>
      <c r="M46">
        <v>183.30699999999999</v>
      </c>
      <c r="N46">
        <v>181.476</v>
      </c>
    </row>
    <row r="47" spans="3:24" x14ac:dyDescent="0.2">
      <c r="C47" s="28" t="s">
        <v>146</v>
      </c>
      <c r="D47" s="34">
        <v>23.396999999999998</v>
      </c>
      <c r="E47">
        <v>23.363</v>
      </c>
      <c r="F47">
        <v>23.353000000000002</v>
      </c>
      <c r="G47">
        <v>23.335999999999999</v>
      </c>
      <c r="H47">
        <v>23.321000000000002</v>
      </c>
      <c r="I47">
        <v>23.312999999999999</v>
      </c>
      <c r="J47" s="35">
        <v>23.28</v>
      </c>
      <c r="K47">
        <v>23.225000000000001</v>
      </c>
      <c r="L47">
        <v>23.206</v>
      </c>
      <c r="M47" t="s">
        <v>169</v>
      </c>
      <c r="N47" t="s">
        <v>169</v>
      </c>
    </row>
    <row r="48" spans="3:24" x14ac:dyDescent="0.2">
      <c r="C48" s="28" t="s">
        <v>147</v>
      </c>
      <c r="D48" s="34">
        <v>201.22399999999999</v>
      </c>
      <c r="E48">
        <v>203.821</v>
      </c>
      <c r="F48">
        <v>204.09899999999999</v>
      </c>
      <c r="G48">
        <v>200.745</v>
      </c>
      <c r="H48">
        <v>195.53200000000001</v>
      </c>
      <c r="I48">
        <v>168.32900000000001</v>
      </c>
      <c r="J48">
        <v>195.30799999999999</v>
      </c>
      <c r="K48">
        <v>167.43100000000001</v>
      </c>
      <c r="L48">
        <v>169.33699999999999</v>
      </c>
      <c r="M48">
        <v>183.959</v>
      </c>
      <c r="N48">
        <v>181.476</v>
      </c>
    </row>
    <row r="49" spans="3:24" x14ac:dyDescent="0.2">
      <c r="C49" s="28" t="s">
        <v>148</v>
      </c>
      <c r="D49" s="34">
        <v>23.396999999999998</v>
      </c>
      <c r="E49">
        <v>23.363</v>
      </c>
      <c r="F49">
        <v>23.353000000000002</v>
      </c>
      <c r="G49">
        <v>23.335999999999999</v>
      </c>
      <c r="H49">
        <v>23.321000000000002</v>
      </c>
      <c r="I49">
        <v>23.312999999999999</v>
      </c>
      <c r="J49" s="35">
        <v>23.28</v>
      </c>
      <c r="K49">
        <v>23.225000000000001</v>
      </c>
      <c r="L49">
        <v>23.206</v>
      </c>
      <c r="M49" t="s">
        <v>169</v>
      </c>
      <c r="N49" t="s">
        <v>169</v>
      </c>
    </row>
    <row r="51" spans="3:24" x14ac:dyDescent="0.2">
      <c r="C51" s="2" t="s">
        <v>152</v>
      </c>
    </row>
    <row r="52" spans="3:24" x14ac:dyDescent="0.2">
      <c r="C52" t="s">
        <v>150</v>
      </c>
      <c r="D52" s="7">
        <v>0</v>
      </c>
      <c r="E52" s="7">
        <v>1.24</v>
      </c>
      <c r="F52" s="7">
        <v>1.6</v>
      </c>
      <c r="G52" s="7">
        <v>2.08</v>
      </c>
      <c r="H52" s="7">
        <v>2.96</v>
      </c>
      <c r="I52" s="7">
        <v>3</v>
      </c>
      <c r="J52" s="7">
        <v>3</v>
      </c>
      <c r="K52" s="7">
        <v>3.04</v>
      </c>
      <c r="L52" s="7">
        <v>3.2</v>
      </c>
      <c r="M52" s="7">
        <v>3.56</v>
      </c>
      <c r="N52" s="7">
        <v>4.04</v>
      </c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3:24" x14ac:dyDescent="0.2">
      <c r="C53" t="s">
        <v>151</v>
      </c>
      <c r="D53" s="7">
        <v>0</v>
      </c>
      <c r="E53" s="7">
        <v>1.1200000000000001</v>
      </c>
      <c r="F53" s="7">
        <v>1.44</v>
      </c>
      <c r="G53" s="7">
        <v>1.88</v>
      </c>
      <c r="H53" s="7">
        <v>2.68</v>
      </c>
      <c r="I53" s="7">
        <v>2.72</v>
      </c>
      <c r="J53" s="7">
        <v>2.72</v>
      </c>
      <c r="K53" s="7">
        <v>2.76</v>
      </c>
      <c r="L53" s="7">
        <v>2.16</v>
      </c>
      <c r="M53" s="7" t="s">
        <v>169</v>
      </c>
      <c r="N53" s="7" t="s">
        <v>169</v>
      </c>
      <c r="O53" s="7"/>
      <c r="P53" s="7"/>
      <c r="Q53" s="7"/>
      <c r="R53" s="7"/>
      <c r="S53" s="7"/>
      <c r="T53" s="7"/>
      <c r="U53" s="7"/>
      <c r="V53" s="7"/>
      <c r="W53" s="7"/>
      <c r="X53" s="7"/>
    </row>
    <row r="56" spans="3:24" x14ac:dyDescent="0.2">
      <c r="C56" s="2" t="s">
        <v>186</v>
      </c>
    </row>
    <row r="57" spans="3:24" x14ac:dyDescent="0.2">
      <c r="C57" t="s">
        <v>40</v>
      </c>
      <c r="D57" s="22">
        <f>D27</f>
        <v>836.1999999999997</v>
      </c>
      <c r="E57" s="22">
        <f t="shared" ref="E57:N57" si="60">E27</f>
        <v>1060.6000000000008</v>
      </c>
      <c r="F57" s="22">
        <f>F27</f>
        <v>1532.6999999999996</v>
      </c>
      <c r="G57" s="22">
        <f t="shared" si="60"/>
        <v>2315.3000000000002</v>
      </c>
      <c r="H57" s="22">
        <f t="shared" si="60"/>
        <v>3459.099999999999</v>
      </c>
      <c r="I57" s="22">
        <f t="shared" si="60"/>
        <v>21.399999999999636</v>
      </c>
      <c r="J57" s="22">
        <f t="shared" si="60"/>
        <v>2031.800000000002</v>
      </c>
      <c r="K57" s="22">
        <f t="shared" si="60"/>
        <v>1.0000000000012506</v>
      </c>
      <c r="L57" s="22">
        <f t="shared" si="60"/>
        <v>-38.5</v>
      </c>
      <c r="M57" s="22">
        <f t="shared" si="60"/>
        <v>1765.1999999999989</v>
      </c>
      <c r="N57" s="22">
        <f t="shared" si="60"/>
        <v>-31.100000000001259</v>
      </c>
    </row>
    <row r="58" spans="3:24" x14ac:dyDescent="0.2">
      <c r="C58" t="s">
        <v>170</v>
      </c>
    </row>
    <row r="59" spans="3:24" x14ac:dyDescent="0.2">
      <c r="C59" s="3" t="s">
        <v>214</v>
      </c>
      <c r="D59" s="11">
        <v>0</v>
      </c>
      <c r="E59" s="11">
        <v>0</v>
      </c>
      <c r="F59" s="11">
        <v>0</v>
      </c>
      <c r="G59" s="11">
        <v>-464.3</v>
      </c>
      <c r="H59" s="11">
        <v>-1971.2</v>
      </c>
      <c r="I59" s="11">
        <v>2126.4</v>
      </c>
      <c r="J59" s="11">
        <v>-802</v>
      </c>
      <c r="K59" s="11">
        <v>1644.7</v>
      </c>
      <c r="L59" s="11">
        <v>45.9</v>
      </c>
      <c r="M59" s="11">
        <v>85.4</v>
      </c>
      <c r="N59" s="11">
        <v>47.9</v>
      </c>
    </row>
    <row r="60" spans="3:24" x14ac:dyDescent="0.2">
      <c r="C60" s="3" t="s">
        <v>226</v>
      </c>
      <c r="D60" s="11">
        <v>0</v>
      </c>
      <c r="E60" s="11">
        <v>0</v>
      </c>
      <c r="F60" s="11">
        <v>0</v>
      </c>
      <c r="G60" s="11">
        <v>0</v>
      </c>
      <c r="H60" s="11">
        <v>-99.8</v>
      </c>
      <c r="I60" s="11">
        <v>-0.4</v>
      </c>
      <c r="J60" s="11">
        <v>0</v>
      </c>
      <c r="K60" s="11">
        <v>-51</v>
      </c>
      <c r="L60" s="11">
        <v>0</v>
      </c>
      <c r="M60" s="11">
        <v>-0.3</v>
      </c>
      <c r="N60" s="11">
        <v>0</v>
      </c>
    </row>
    <row r="61" spans="3:24" x14ac:dyDescent="0.2">
      <c r="C61" s="3" t="s">
        <v>215</v>
      </c>
      <c r="D61" s="11">
        <v>0</v>
      </c>
      <c r="E61" s="11">
        <v>0</v>
      </c>
      <c r="F61" s="11">
        <v>0</v>
      </c>
      <c r="G61" s="11">
        <v>-351.2</v>
      </c>
      <c r="H61" s="11">
        <v>-37.6</v>
      </c>
      <c r="I61" s="11">
        <v>0</v>
      </c>
      <c r="J61" s="11">
        <v>0</v>
      </c>
      <c r="K61" s="11">
        <v>0</v>
      </c>
      <c r="L61" s="11">
        <v>0</v>
      </c>
      <c r="M61" s="11">
        <v>0</v>
      </c>
      <c r="N61" s="11">
        <v>0</v>
      </c>
    </row>
    <row r="62" spans="3:24" x14ac:dyDescent="0.2">
      <c r="C62" s="3" t="s">
        <v>171</v>
      </c>
      <c r="D62" s="11">
        <v>162</v>
      </c>
      <c r="E62" s="11">
        <v>180.3</v>
      </c>
      <c r="F62" s="11">
        <v>237.5</v>
      </c>
      <c r="G62" s="11">
        <v>293.8</v>
      </c>
      <c r="H62" s="11">
        <v>333.1</v>
      </c>
      <c r="I62" s="11">
        <v>326.5</v>
      </c>
      <c r="J62" s="11">
        <v>293.8</v>
      </c>
      <c r="K62" s="11">
        <v>337.3</v>
      </c>
      <c r="L62" s="11">
        <v>383.8</v>
      </c>
      <c r="M62" s="11">
        <v>427.9</v>
      </c>
      <c r="N62" s="11">
        <v>445.7</v>
      </c>
    </row>
    <row r="63" spans="3:24" x14ac:dyDescent="0.2">
      <c r="C63" s="3" t="s">
        <v>172</v>
      </c>
      <c r="D63" s="11">
        <v>79.3</v>
      </c>
      <c r="E63" s="11">
        <v>251</v>
      </c>
      <c r="F63" s="11">
        <v>124.8</v>
      </c>
      <c r="G63" s="11">
        <v>113.8</v>
      </c>
      <c r="H63" s="11">
        <v>426.9</v>
      </c>
      <c r="I63" s="11">
        <v>-1153.7</v>
      </c>
      <c r="J63" s="11">
        <v>336.4</v>
      </c>
      <c r="K63" s="11">
        <v>84.8</v>
      </c>
      <c r="L63" s="11">
        <v>207.8</v>
      </c>
      <c r="M63" s="11">
        <v>147.9</v>
      </c>
      <c r="N63" s="11">
        <v>-210.3</v>
      </c>
    </row>
    <row r="64" spans="3:24" x14ac:dyDescent="0.2">
      <c r="C64" s="3" t="s">
        <v>173</v>
      </c>
      <c r="D64" s="11">
        <v>40</v>
      </c>
      <c r="E64" s="11">
        <v>40.700000000000003</v>
      </c>
      <c r="F64" s="11">
        <v>56.4</v>
      </c>
      <c r="G64" s="11">
        <v>92.7</v>
      </c>
      <c r="H64" s="11">
        <v>114</v>
      </c>
      <c r="I64" s="11">
        <v>16.7</v>
      </c>
      <c r="J64" s="11">
        <v>11.3</v>
      </c>
      <c r="K64" s="11">
        <v>5.0999999999999996</v>
      </c>
      <c r="L64" s="11">
        <v>16.2</v>
      </c>
      <c r="M64" s="11">
        <v>1.3</v>
      </c>
      <c r="N64" s="11">
        <v>2797.7</v>
      </c>
    </row>
    <row r="65" spans="3:14" x14ac:dyDescent="0.2">
      <c r="C65" s="3" t="s">
        <v>174</v>
      </c>
      <c r="D65" s="11">
        <v>55</v>
      </c>
      <c r="E65" s="11">
        <v>54</v>
      </c>
      <c r="F65" s="11">
        <v>56.1</v>
      </c>
      <c r="G65" s="11">
        <v>60.9</v>
      </c>
      <c r="H65" s="11">
        <v>64.099999999999994</v>
      </c>
      <c r="I65" s="11">
        <v>60.4</v>
      </c>
      <c r="J65" s="11">
        <v>63</v>
      </c>
      <c r="K65" s="11">
        <v>44.9</v>
      </c>
      <c r="L65" s="11">
        <v>68.5</v>
      </c>
      <c r="M65" s="11">
        <v>63.6</v>
      </c>
      <c r="N65" s="11">
        <v>72.2</v>
      </c>
    </row>
    <row r="66" spans="3:14" x14ac:dyDescent="0.2">
      <c r="C66" s="3" t="s">
        <v>221</v>
      </c>
      <c r="D66" s="11">
        <v>0</v>
      </c>
      <c r="E66" s="11">
        <v>0</v>
      </c>
      <c r="F66" s="11">
        <v>0</v>
      </c>
      <c r="G66" s="11">
        <v>0</v>
      </c>
      <c r="H66" s="11">
        <v>13.5</v>
      </c>
      <c r="I66" s="11">
        <v>560.79999999999995</v>
      </c>
      <c r="J66" s="11">
        <v>673.4</v>
      </c>
      <c r="K66" s="11">
        <v>61.6</v>
      </c>
      <c r="L66" s="11">
        <v>971.8</v>
      </c>
      <c r="M66" s="11">
        <v>321.2</v>
      </c>
      <c r="N66" s="11">
        <v>-5.4</v>
      </c>
    </row>
    <row r="67" spans="3:14" x14ac:dyDescent="0.2">
      <c r="C67" s="3" t="s">
        <v>222</v>
      </c>
      <c r="D67" s="11">
        <v>0</v>
      </c>
      <c r="E67" s="11">
        <v>0</v>
      </c>
      <c r="F67" s="11">
        <v>0</v>
      </c>
      <c r="G67" s="11">
        <v>0</v>
      </c>
      <c r="H67" s="11">
        <v>0</v>
      </c>
      <c r="I67" s="11">
        <v>88.3</v>
      </c>
      <c r="J67" s="11">
        <v>83.3</v>
      </c>
      <c r="K67" s="11">
        <v>81.900000000000006</v>
      </c>
      <c r="L67" s="11">
        <v>89.3</v>
      </c>
      <c r="M67" s="11">
        <v>91.3</v>
      </c>
      <c r="N67" s="11">
        <v>112.4</v>
      </c>
    </row>
    <row r="68" spans="3:14" x14ac:dyDescent="0.2">
      <c r="C68" s="3" t="s">
        <v>233</v>
      </c>
      <c r="D68" s="11">
        <v>0</v>
      </c>
      <c r="E68" s="11">
        <v>0</v>
      </c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1060.3</v>
      </c>
      <c r="M68" s="11">
        <v>136.1</v>
      </c>
      <c r="N68" s="11">
        <v>8.6999999999999993</v>
      </c>
    </row>
    <row r="69" spans="3:14" x14ac:dyDescent="0.2">
      <c r="C69" s="3" t="s">
        <v>232</v>
      </c>
      <c r="D69" s="11">
        <v>0</v>
      </c>
      <c r="E69" s="11"/>
      <c r="F69" s="11">
        <v>0</v>
      </c>
      <c r="G69" s="11">
        <v>0</v>
      </c>
      <c r="H69" s="11">
        <v>0</v>
      </c>
      <c r="I69" s="11">
        <v>0</v>
      </c>
      <c r="J69" s="11">
        <v>0</v>
      </c>
      <c r="K69" s="11">
        <v>665.9</v>
      </c>
      <c r="L69" s="11">
        <v>53.5</v>
      </c>
      <c r="M69" s="11">
        <v>0</v>
      </c>
      <c r="N69" s="11">
        <v>0</v>
      </c>
    </row>
    <row r="70" spans="3:14" x14ac:dyDescent="0.2">
      <c r="C70" s="3" t="s">
        <v>220</v>
      </c>
      <c r="D70" s="11">
        <v>12.2</v>
      </c>
      <c r="E70" s="11">
        <v>12</v>
      </c>
      <c r="F70" s="11">
        <v>12.7</v>
      </c>
      <c r="G70" s="11">
        <v>108.7</v>
      </c>
      <c r="H70" s="11">
        <v>29.4</v>
      </c>
      <c r="I70" s="11">
        <v>16.100000000000001</v>
      </c>
      <c r="J70" s="11">
        <v>24.3</v>
      </c>
      <c r="K70" s="11">
        <v>39.9</v>
      </c>
      <c r="L70" s="11">
        <v>34</v>
      </c>
      <c r="M70" s="11">
        <v>11.7</v>
      </c>
      <c r="N70" s="11">
        <v>10.4</v>
      </c>
    </row>
    <row r="71" spans="3:14" x14ac:dyDescent="0.2">
      <c r="C71" s="3" t="s">
        <v>230</v>
      </c>
      <c r="D71" s="11">
        <v>3.3</v>
      </c>
      <c r="E71" s="11">
        <v>1.1000000000000001</v>
      </c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</row>
    <row r="72" spans="3:14" x14ac:dyDescent="0.2">
      <c r="C72" s="3" t="s">
        <v>225</v>
      </c>
      <c r="D72" s="11">
        <v>0</v>
      </c>
      <c r="E72" s="11">
        <v>0</v>
      </c>
      <c r="F72" s="11">
        <v>0</v>
      </c>
      <c r="G72" s="11">
        <v>0</v>
      </c>
      <c r="H72" s="11">
        <v>0</v>
      </c>
      <c r="I72" s="11">
        <v>449.7</v>
      </c>
      <c r="J72" s="11">
        <v>24</v>
      </c>
      <c r="K72" s="11">
        <v>0</v>
      </c>
      <c r="L72" s="11">
        <v>0</v>
      </c>
      <c r="M72" s="11">
        <v>0</v>
      </c>
      <c r="N72" s="11">
        <v>0</v>
      </c>
    </row>
    <row r="73" spans="3:14" x14ac:dyDescent="0.2">
      <c r="C73" s="3" t="s">
        <v>224</v>
      </c>
      <c r="D73" s="11">
        <v>0</v>
      </c>
      <c r="E73" s="11">
        <v>0</v>
      </c>
      <c r="F73" s="11">
        <v>-262.39999999999998</v>
      </c>
      <c r="G73" s="11">
        <v>0</v>
      </c>
      <c r="H73" s="11">
        <v>0</v>
      </c>
      <c r="I73" s="11">
        <v>-74.099999999999994</v>
      </c>
      <c r="J73" s="11">
        <v>-14.2</v>
      </c>
      <c r="K73" s="11">
        <v>-1.7</v>
      </c>
      <c r="L73" s="11">
        <v>0</v>
      </c>
      <c r="M73" s="11">
        <v>0</v>
      </c>
      <c r="N73" s="11">
        <v>478</v>
      </c>
    </row>
    <row r="74" spans="3:14" x14ac:dyDescent="0.2">
      <c r="C74" s="3" t="s">
        <v>223</v>
      </c>
      <c r="D74" s="11">
        <v>0</v>
      </c>
      <c r="E74" s="11">
        <v>0</v>
      </c>
      <c r="F74" s="11">
        <v>0</v>
      </c>
      <c r="G74" s="11">
        <v>59</v>
      </c>
      <c r="H74" s="11">
        <v>0</v>
      </c>
      <c r="I74" s="11">
        <v>123</v>
      </c>
      <c r="J74" s="11">
        <v>25.8</v>
      </c>
      <c r="K74" s="11">
        <v>0</v>
      </c>
      <c r="L74" s="11"/>
      <c r="M74" s="11"/>
      <c r="N74" s="11">
        <v>0</v>
      </c>
    </row>
    <row r="75" spans="3:14" x14ac:dyDescent="0.2">
      <c r="C75" s="3" t="s">
        <v>231</v>
      </c>
      <c r="D75" s="11">
        <v>0</v>
      </c>
      <c r="E75" s="11">
        <v>0</v>
      </c>
      <c r="F75" s="11">
        <v>0</v>
      </c>
      <c r="G75" s="11">
        <v>0</v>
      </c>
      <c r="H75" s="11">
        <v>0</v>
      </c>
      <c r="I75" s="11">
        <v>0</v>
      </c>
      <c r="J75" s="11">
        <v>-29.3</v>
      </c>
      <c r="K75" s="11">
        <v>0</v>
      </c>
      <c r="L75" s="11"/>
      <c r="M75" s="11"/>
      <c r="N75" s="11">
        <v>0</v>
      </c>
    </row>
    <row r="76" spans="3:14" x14ac:dyDescent="0.2">
      <c r="C76" s="3" t="s">
        <v>234</v>
      </c>
      <c r="D76" s="11">
        <v>0</v>
      </c>
      <c r="E76" s="11">
        <v>0</v>
      </c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20.7</v>
      </c>
      <c r="M76" s="11">
        <v>1.9</v>
      </c>
      <c r="N76" s="11">
        <v>-266</v>
      </c>
    </row>
    <row r="77" spans="3:14" x14ac:dyDescent="0.2">
      <c r="C77" s="3" t="s">
        <v>238</v>
      </c>
      <c r="D77" s="11">
        <v>0</v>
      </c>
      <c r="E77" s="11">
        <v>0</v>
      </c>
      <c r="F77" s="11">
        <v>0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0</v>
      </c>
      <c r="M77" s="11">
        <v>0</v>
      </c>
      <c r="N77" s="11">
        <f>-7.2</f>
        <v>-7.2</v>
      </c>
    </row>
    <row r="78" spans="3:14" x14ac:dyDescent="0.2">
      <c r="C78" s="26" t="s">
        <v>175</v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3:14" x14ac:dyDescent="0.2">
      <c r="C79" s="16" t="s">
        <v>176</v>
      </c>
      <c r="D79" s="11">
        <v>16.100000000000001</v>
      </c>
      <c r="E79" s="11">
        <v>-129.80000000000001</v>
      </c>
      <c r="F79" s="11">
        <v>-49.4</v>
      </c>
      <c r="G79" s="11">
        <v>-34.1</v>
      </c>
      <c r="H79" s="11">
        <v>-71.900000000000006</v>
      </c>
      <c r="I79" s="11">
        <v>-22</v>
      </c>
      <c r="J79" s="11">
        <v>59.6</v>
      </c>
      <c r="K79" s="11">
        <v>-114</v>
      </c>
      <c r="L79" s="11">
        <v>-3.9</v>
      </c>
      <c r="M79" s="11">
        <v>73.2</v>
      </c>
      <c r="N79" s="11">
        <v>90.3</v>
      </c>
    </row>
    <row r="80" spans="3:14" x14ac:dyDescent="0.2">
      <c r="C80" s="16" t="s">
        <v>177</v>
      </c>
      <c r="D80" s="11">
        <v>-132.5</v>
      </c>
      <c r="E80" s="11">
        <v>10.1</v>
      </c>
      <c r="F80" s="11">
        <v>-151</v>
      </c>
      <c r="G80" s="11">
        <v>-123.8</v>
      </c>
      <c r="H80" s="11">
        <v>-61.9</v>
      </c>
      <c r="I80" s="11">
        <v>-29.5</v>
      </c>
      <c r="J80" s="11">
        <v>193.7</v>
      </c>
      <c r="K80" s="11">
        <v>-261.3</v>
      </c>
      <c r="L80" s="11">
        <v>-356.4</v>
      </c>
      <c r="M80" s="11">
        <v>-182.3</v>
      </c>
      <c r="N80" s="11">
        <v>-152.19999999999999</v>
      </c>
    </row>
    <row r="81" spans="3:24" x14ac:dyDescent="0.2">
      <c r="C81" s="16" t="s">
        <v>178</v>
      </c>
      <c r="D81" s="11">
        <v>-71.2</v>
      </c>
      <c r="E81" s="11">
        <v>45.9</v>
      </c>
      <c r="F81" s="11">
        <v>-71.599999999999994</v>
      </c>
      <c r="G81" s="11">
        <v>-111.5</v>
      </c>
      <c r="H81" s="11">
        <v>-103</v>
      </c>
      <c r="I81" s="11">
        <v>8.1</v>
      </c>
      <c r="J81" s="11">
        <v>65.7</v>
      </c>
      <c r="K81" s="11">
        <v>-113.2</v>
      </c>
      <c r="L81" s="11">
        <v>197.9</v>
      </c>
      <c r="M81" s="11">
        <v>-76.5</v>
      </c>
      <c r="N81" s="11">
        <v>-89.4</v>
      </c>
    </row>
    <row r="82" spans="3:24" x14ac:dyDescent="0.2">
      <c r="C82" s="16" t="s">
        <v>179</v>
      </c>
      <c r="D82" s="11">
        <v>-0.8</v>
      </c>
      <c r="E82" s="11">
        <v>24.7</v>
      </c>
      <c r="F82" s="11">
        <v>115.9</v>
      </c>
      <c r="G82" s="11">
        <v>12.8</v>
      </c>
      <c r="H82" s="11">
        <v>21.4</v>
      </c>
      <c r="I82" s="11">
        <v>-58.5</v>
      </c>
      <c r="J82" s="11">
        <v>-95.7</v>
      </c>
      <c r="K82" s="11">
        <v>213.7</v>
      </c>
      <c r="L82" s="11">
        <v>114.9</v>
      </c>
      <c r="M82" s="11">
        <v>24.7</v>
      </c>
      <c r="N82" s="11">
        <v>101.5</v>
      </c>
    </row>
    <row r="83" spans="3:24" x14ac:dyDescent="0.2">
      <c r="C83" s="16" t="s">
        <v>180</v>
      </c>
      <c r="D83" s="11">
        <v>1.6</v>
      </c>
      <c r="E83" s="11">
        <v>5.0999999999999996</v>
      </c>
      <c r="F83" s="11">
        <v>0</v>
      </c>
      <c r="G83" s="11">
        <v>0</v>
      </c>
      <c r="H83" s="11">
        <v>0</v>
      </c>
      <c r="I83" s="11">
        <v>16.8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</row>
    <row r="84" spans="3:24" x14ac:dyDescent="0.2">
      <c r="C84" s="16" t="s">
        <v>227</v>
      </c>
      <c r="D84" s="11">
        <v>0</v>
      </c>
      <c r="E84" s="11">
        <v>0</v>
      </c>
      <c r="F84" s="11">
        <v>0</v>
      </c>
      <c r="G84" s="11">
        <v>0</v>
      </c>
      <c r="H84" s="11">
        <v>0</v>
      </c>
      <c r="I84" s="11">
        <v>1.4</v>
      </c>
      <c r="J84" s="11">
        <v>0</v>
      </c>
      <c r="K84" s="11">
        <v>118</v>
      </c>
      <c r="L84" s="11">
        <v>12.8</v>
      </c>
      <c r="M84" s="11">
        <v>-11</v>
      </c>
      <c r="N84" s="11">
        <v>-35.5</v>
      </c>
    </row>
    <row r="85" spans="3:24" x14ac:dyDescent="0.2">
      <c r="C85" s="16" t="s">
        <v>181</v>
      </c>
      <c r="D85" s="11">
        <v>44.7</v>
      </c>
      <c r="E85" s="11">
        <v>-116.8</v>
      </c>
      <c r="F85" s="11">
        <v>132.6</v>
      </c>
      <c r="G85" s="11">
        <v>-66.8</v>
      </c>
      <c r="H85" s="11">
        <v>-22.1</v>
      </c>
      <c r="I85" s="11">
        <v>0</v>
      </c>
      <c r="J85" s="11">
        <v>-75</v>
      </c>
      <c r="K85" s="11">
        <v>-28.8</v>
      </c>
      <c r="L85" s="11">
        <v>-239.8</v>
      </c>
      <c r="M85" s="11">
        <v>-115.9</v>
      </c>
      <c r="N85" s="11">
        <v>-48.9</v>
      </c>
    </row>
    <row r="86" spans="3:24" x14ac:dyDescent="0.2">
      <c r="C86" s="3" t="s">
        <v>182</v>
      </c>
      <c r="D86" s="11">
        <v>35.1</v>
      </c>
      <c r="E86" s="11">
        <v>-25.2</v>
      </c>
      <c r="F86" s="11">
        <v>-38.299999999999997</v>
      </c>
      <c r="G86" s="11">
        <v>26.1</v>
      </c>
      <c r="H86" s="11">
        <v>152.30000000000001</v>
      </c>
      <c r="I86" s="11">
        <v>73.7</v>
      </c>
      <c r="J86" s="11">
        <v>-63.4</v>
      </c>
      <c r="K86" s="11">
        <v>-23.4</v>
      </c>
      <c r="L86" s="11">
        <v>118.1</v>
      </c>
      <c r="M86" s="11">
        <v>14.6</v>
      </c>
      <c r="N86" s="11">
        <v>-166.6</v>
      </c>
    </row>
    <row r="87" spans="3:24" x14ac:dyDescent="0.2">
      <c r="C87" s="36" t="s">
        <v>183</v>
      </c>
      <c r="D87" s="40">
        <f t="shared" ref="D87:M87" si="61">SUM(D59:D77,D79:D86)</f>
        <v>244.80000000000004</v>
      </c>
      <c r="E87" s="40">
        <f t="shared" si="61"/>
        <v>353.1</v>
      </c>
      <c r="F87" s="40">
        <f t="shared" si="61"/>
        <v>163.30000000000001</v>
      </c>
      <c r="G87" s="40">
        <f t="shared" si="61"/>
        <v>-383.9</v>
      </c>
      <c r="H87" s="40">
        <f t="shared" si="61"/>
        <v>-1212.8</v>
      </c>
      <c r="I87" s="40">
        <f t="shared" si="61"/>
        <v>2529.6999999999998</v>
      </c>
      <c r="J87" s="40">
        <f t="shared" si="61"/>
        <v>774.69999999999993</v>
      </c>
      <c r="K87" s="40">
        <f>SUM(K59:K77,K79:K86)</f>
        <v>2704.3999999999996</v>
      </c>
      <c r="L87" s="40">
        <f t="shared" si="61"/>
        <v>2795.3999999999996</v>
      </c>
      <c r="M87" s="40">
        <f t="shared" si="61"/>
        <v>1014.8000000000002</v>
      </c>
      <c r="N87" s="40">
        <f>SUM(N59:N77,N79:N86)</f>
        <v>3183.3</v>
      </c>
    </row>
    <row r="88" spans="3:24" ht="17" thickBot="1" x14ac:dyDescent="0.25">
      <c r="C88" s="36" t="s">
        <v>184</v>
      </c>
      <c r="D88" s="10">
        <f t="shared" ref="D88:N88" si="62">D57+D87</f>
        <v>1080.9999999999998</v>
      </c>
      <c r="E88" s="10">
        <f>E57+E87</f>
        <v>1413.7000000000007</v>
      </c>
      <c r="F88" s="10">
        <f t="shared" si="62"/>
        <v>1695.9999999999995</v>
      </c>
      <c r="G88" s="10">
        <f t="shared" si="62"/>
        <v>1931.4</v>
      </c>
      <c r="H88" s="10">
        <f t="shared" si="62"/>
        <v>2246.2999999999993</v>
      </c>
      <c r="I88" s="10">
        <f t="shared" si="62"/>
        <v>2551.0999999999995</v>
      </c>
      <c r="J88" s="10">
        <f t="shared" si="62"/>
        <v>2806.5000000000018</v>
      </c>
      <c r="K88" s="10">
        <f t="shared" si="62"/>
        <v>2705.400000000001</v>
      </c>
      <c r="L88" s="10">
        <f t="shared" si="62"/>
        <v>2756.8999999999996</v>
      </c>
      <c r="M88" s="10">
        <f t="shared" si="62"/>
        <v>2779.9999999999991</v>
      </c>
      <c r="N88" s="10">
        <f t="shared" si="62"/>
        <v>3152.1999999999989</v>
      </c>
    </row>
    <row r="90" spans="3:24" x14ac:dyDescent="0.2">
      <c r="C90" s="9" t="s">
        <v>185</v>
      </c>
    </row>
    <row r="91" spans="3:24" x14ac:dyDescent="0.2">
      <c r="C91" s="6" t="s">
        <v>216</v>
      </c>
      <c r="D91" s="11">
        <v>0</v>
      </c>
      <c r="E91" s="11">
        <v>0</v>
      </c>
      <c r="F91" s="11">
        <v>-17.100000000000001</v>
      </c>
      <c r="G91" s="11">
        <v>-210.9</v>
      </c>
      <c r="H91" s="11">
        <v>-4081.5</v>
      </c>
      <c r="I91" s="11">
        <v>-48.2</v>
      </c>
      <c r="J91" s="11">
        <v>-222.4</v>
      </c>
      <c r="K91" s="11">
        <v>-36.6</v>
      </c>
      <c r="L91" s="11">
        <v>-30.8</v>
      </c>
      <c r="M91" s="11">
        <v>-34.6</v>
      </c>
      <c r="N91" s="11">
        <v>-35</v>
      </c>
    </row>
    <row r="92" spans="3:24" x14ac:dyDescent="0.2">
      <c r="C92" s="3" t="s">
        <v>187</v>
      </c>
      <c r="D92" s="11">
        <v>-310.3</v>
      </c>
      <c r="E92" s="11">
        <v>-1316.4</v>
      </c>
      <c r="F92" s="11">
        <v>-1111</v>
      </c>
      <c r="G92" s="11">
        <v>-150.1</v>
      </c>
      <c r="H92" s="11">
        <v>-45.6</v>
      </c>
      <c r="I92" s="11">
        <v>-36.200000000000003</v>
      </c>
      <c r="J92" s="11">
        <v>-19.899999999999999</v>
      </c>
      <c r="K92" s="11">
        <v>-53.5</v>
      </c>
      <c r="L92" s="11">
        <v>-37.1</v>
      </c>
      <c r="M92" s="11">
        <v>-7.5</v>
      </c>
      <c r="N92" s="11">
        <v>-158.69999999999999</v>
      </c>
    </row>
    <row r="93" spans="3:24" x14ac:dyDescent="0.2">
      <c r="C93" s="3" t="s">
        <v>188</v>
      </c>
      <c r="D93" s="11">
        <v>-719.4</v>
      </c>
      <c r="E93" s="11">
        <v>-891.3</v>
      </c>
      <c r="F93" s="11">
        <v>-907.4</v>
      </c>
      <c r="G93" s="11">
        <v>-1057.5999999999999</v>
      </c>
      <c r="H93" s="11">
        <v>-886.3</v>
      </c>
      <c r="I93" s="11">
        <v>-726.5</v>
      </c>
      <c r="J93" s="11">
        <v>-864.6</v>
      </c>
      <c r="K93" s="11">
        <v>-1026.8</v>
      </c>
      <c r="L93" s="11">
        <v>-1035.4000000000001</v>
      </c>
      <c r="M93" s="11">
        <v>-1269.0999999999999</v>
      </c>
      <c r="N93" s="11">
        <v>-1214.0999999999999</v>
      </c>
      <c r="O93" s="18">
        <f>-$M$133*O6</f>
        <v>-1298.2356259919707</v>
      </c>
      <c r="P93" s="18">
        <f t="shared" ref="P93:X93" si="63">-$M$133*P6</f>
        <v>-1298.2356259919707</v>
      </c>
      <c r="Q93" s="18">
        <f t="shared" si="63"/>
        <v>-1298.2356259919707</v>
      </c>
      <c r="R93" s="18">
        <f t="shared" si="63"/>
        <v>-1298.2356259919707</v>
      </c>
      <c r="S93" s="18">
        <f t="shared" si="63"/>
        <v>-1298.2356259919707</v>
      </c>
      <c r="T93" s="18">
        <f t="shared" si="63"/>
        <v>-1298.2356259919707</v>
      </c>
      <c r="U93" s="18">
        <f t="shared" si="63"/>
        <v>-1298.2356259919707</v>
      </c>
      <c r="V93" s="18">
        <f t="shared" si="63"/>
        <v>-1298.2356259919707</v>
      </c>
      <c r="W93" s="18">
        <f t="shared" si="63"/>
        <v>-1298.2356259919707</v>
      </c>
      <c r="X93" s="18">
        <f t="shared" si="63"/>
        <v>-1298.2356259919707</v>
      </c>
    </row>
    <row r="94" spans="3:24" x14ac:dyDescent="0.2">
      <c r="C94" s="3" t="s">
        <v>217</v>
      </c>
      <c r="D94" s="11">
        <v>0</v>
      </c>
      <c r="E94" s="11">
        <v>0</v>
      </c>
      <c r="F94" s="11">
        <v>0</v>
      </c>
      <c r="G94" s="11">
        <v>0</v>
      </c>
      <c r="H94" s="11">
        <v>110.2</v>
      </c>
      <c r="I94" s="11">
        <v>1.5</v>
      </c>
      <c r="J94" s="11">
        <v>0</v>
      </c>
      <c r="K94" s="11">
        <v>74.400000000000006</v>
      </c>
      <c r="L94" s="11">
        <v>0</v>
      </c>
      <c r="M94" s="11">
        <v>0.3</v>
      </c>
      <c r="N94" s="11">
        <v>0</v>
      </c>
    </row>
    <row r="95" spans="3:24" x14ac:dyDescent="0.2">
      <c r="C95" s="3" t="s">
        <v>218</v>
      </c>
      <c r="D95" s="11">
        <v>0</v>
      </c>
      <c r="E95" s="11">
        <v>0</v>
      </c>
      <c r="F95" s="11">
        <v>2.1</v>
      </c>
      <c r="G95" s="11">
        <v>5.9</v>
      </c>
      <c r="H95" s="11">
        <v>72.3</v>
      </c>
      <c r="I95" s="11">
        <v>8.3000000000000007</v>
      </c>
      <c r="J95" s="11">
        <v>18.899999999999999</v>
      </c>
      <c r="K95" s="11">
        <v>4.0999999999999996</v>
      </c>
      <c r="L95" s="11">
        <v>6.7</v>
      </c>
      <c r="M95" s="11">
        <v>21.9</v>
      </c>
      <c r="N95" s="11">
        <v>35.5</v>
      </c>
    </row>
    <row r="96" spans="3:24" x14ac:dyDescent="0.2">
      <c r="C96" s="3" t="s">
        <v>189</v>
      </c>
      <c r="D96" s="11">
        <v>0</v>
      </c>
      <c r="E96" s="11">
        <v>0</v>
      </c>
      <c r="F96" s="11">
        <v>575.29999999999995</v>
      </c>
      <c r="G96" s="11">
        <v>-5</v>
      </c>
      <c r="H96" s="11">
        <v>0</v>
      </c>
      <c r="I96" s="11">
        <v>269.7</v>
      </c>
      <c r="J96" s="11">
        <v>999.5</v>
      </c>
      <c r="K96" s="11">
        <v>4.5999999999999996</v>
      </c>
      <c r="L96" s="11">
        <v>96.7</v>
      </c>
      <c r="M96" s="11">
        <v>5.4</v>
      </c>
      <c r="N96" s="11">
        <v>409.2</v>
      </c>
    </row>
    <row r="97" spans="3:14" x14ac:dyDescent="0.2">
      <c r="C97" s="3" t="s">
        <v>190</v>
      </c>
      <c r="D97" s="11">
        <v>13.8</v>
      </c>
      <c r="E97" s="11">
        <v>0.3</v>
      </c>
      <c r="F97" s="11">
        <v>-3.7</v>
      </c>
      <c r="G97" s="11">
        <v>-5.4</v>
      </c>
      <c r="H97" s="11">
        <v>-0.9</v>
      </c>
      <c r="I97" s="11">
        <v>0.4</v>
      </c>
      <c r="J97" s="11">
        <v>0.6</v>
      </c>
      <c r="K97" s="11">
        <v>-2</v>
      </c>
      <c r="L97" s="11">
        <v>0.5</v>
      </c>
      <c r="M97" s="11">
        <v>-2.2999999999999998</v>
      </c>
      <c r="N97" s="11">
        <v>-11.7</v>
      </c>
    </row>
    <row r="98" spans="3:14" ht="17" thickBot="1" x14ac:dyDescent="0.25">
      <c r="C98" s="16" t="s">
        <v>191</v>
      </c>
      <c r="D98" s="8">
        <f>SUM(D91:D97)</f>
        <v>-1015.9000000000001</v>
      </c>
      <c r="E98" s="8">
        <f t="shared" ref="E98" si="64">SUM(E91:E97)</f>
        <v>-2207.3999999999996</v>
      </c>
      <c r="F98" s="8">
        <f>SUM(F91:F97)</f>
        <v>-1461.8000000000002</v>
      </c>
      <c r="G98" s="8">
        <f t="shared" ref="G98:N98" si="65">SUM(G91:G97)</f>
        <v>-1423.1</v>
      </c>
      <c r="H98" s="8">
        <f t="shared" si="65"/>
        <v>-4831.8</v>
      </c>
      <c r="I98" s="8">
        <f t="shared" si="65"/>
        <v>-531.00000000000011</v>
      </c>
      <c r="J98" s="8">
        <f t="shared" si="65"/>
        <v>-87.9</v>
      </c>
      <c r="K98" s="8">
        <f t="shared" si="65"/>
        <v>-1035.8</v>
      </c>
      <c r="L98" s="8">
        <f t="shared" si="65"/>
        <v>-999.40000000000009</v>
      </c>
      <c r="M98" s="8">
        <f t="shared" si="65"/>
        <v>-1285.8999999999996</v>
      </c>
      <c r="N98" s="8">
        <f t="shared" si="65"/>
        <v>-974.8</v>
      </c>
    </row>
    <row r="100" spans="3:14" x14ac:dyDescent="0.2">
      <c r="C100" s="9" t="s">
        <v>210</v>
      </c>
    </row>
    <row r="101" spans="3:14" x14ac:dyDescent="0.2">
      <c r="C101" s="3" t="s">
        <v>192</v>
      </c>
      <c r="D101" s="11">
        <v>905</v>
      </c>
      <c r="E101" s="11">
        <v>610</v>
      </c>
      <c r="F101" s="11">
        <v>1965.6</v>
      </c>
      <c r="G101" s="11">
        <v>7933.4</v>
      </c>
      <c r="H101" s="11">
        <v>3657.6</v>
      </c>
      <c r="I101" s="11">
        <v>1291.3</v>
      </c>
      <c r="J101" s="11">
        <v>1194.7</v>
      </c>
      <c r="K101" s="11">
        <v>995.6</v>
      </c>
      <c r="L101" s="11">
        <v>3344.9</v>
      </c>
      <c r="M101" s="11">
        <v>1144.4000000000001</v>
      </c>
      <c r="N101" s="11">
        <v>0</v>
      </c>
    </row>
    <row r="102" spans="3:14" x14ac:dyDescent="0.2">
      <c r="C102" s="3" t="s">
        <v>193</v>
      </c>
      <c r="D102" s="11">
        <v>13.1</v>
      </c>
      <c r="E102" s="11">
        <v>360.6</v>
      </c>
      <c r="F102" s="11">
        <v>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</row>
    <row r="103" spans="3:14" x14ac:dyDescent="0.2">
      <c r="C103" s="3" t="s">
        <v>219</v>
      </c>
      <c r="D103" s="11">
        <v>0</v>
      </c>
      <c r="E103" s="11">
        <v>0</v>
      </c>
      <c r="F103" s="11">
        <v>197.1</v>
      </c>
      <c r="G103" s="11">
        <v>137.19999999999999</v>
      </c>
      <c r="H103" s="11">
        <v>45.5</v>
      </c>
      <c r="I103" s="11">
        <v>-552.6</v>
      </c>
      <c r="J103" s="11">
        <v>-238.9</v>
      </c>
      <c r="K103" s="11">
        <v>323</v>
      </c>
      <c r="L103" s="11">
        <v>842.3</v>
      </c>
      <c r="M103" s="11">
        <v>-923.9</v>
      </c>
      <c r="N103" s="11">
        <v>565.29999999999995</v>
      </c>
    </row>
    <row r="104" spans="3:14" x14ac:dyDescent="0.2">
      <c r="C104" s="3" t="s">
        <v>194</v>
      </c>
      <c r="D104" s="11">
        <v>78</v>
      </c>
      <c r="E104" s="11">
        <v>203.4</v>
      </c>
      <c r="F104" s="11">
        <v>131.4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/>
      <c r="M104" s="11"/>
      <c r="N104" s="11"/>
    </row>
    <row r="105" spans="3:14" x14ac:dyDescent="0.2">
      <c r="C105" s="3" t="s">
        <v>195</v>
      </c>
      <c r="D105" s="11">
        <v>63.7</v>
      </c>
      <c r="E105" s="11">
        <v>113</v>
      </c>
      <c r="F105" s="11">
        <v>59.7</v>
      </c>
      <c r="G105" s="11">
        <v>49.4</v>
      </c>
      <c r="H105" s="11">
        <v>63.2</v>
      </c>
      <c r="I105" s="11">
        <v>78.2</v>
      </c>
      <c r="J105" s="11">
        <v>58.9</v>
      </c>
      <c r="K105" s="11">
        <v>177.6</v>
      </c>
      <c r="L105" s="11">
        <v>42.4</v>
      </c>
      <c r="M105" s="11">
        <v>104.5</v>
      </c>
      <c r="N105" s="11">
        <v>73.8</v>
      </c>
    </row>
    <row r="106" spans="3:14" x14ac:dyDescent="0.2">
      <c r="C106" s="3" t="s">
        <v>236</v>
      </c>
      <c r="D106" s="11">
        <v>115</v>
      </c>
      <c r="E106" s="11">
        <v>25</v>
      </c>
      <c r="F106" s="11">
        <v>0</v>
      </c>
      <c r="G106" s="11">
        <v>0</v>
      </c>
      <c r="H106" s="11">
        <v>0</v>
      </c>
      <c r="I106" s="11">
        <v>0</v>
      </c>
      <c r="J106" s="11">
        <v>-35</v>
      </c>
      <c r="K106" s="11">
        <v>-52.5</v>
      </c>
      <c r="L106" s="11">
        <v>-55.3</v>
      </c>
      <c r="M106" s="11">
        <v>-52.6</v>
      </c>
      <c r="N106" s="11">
        <v>-57.5</v>
      </c>
    </row>
    <row r="107" spans="3:14" x14ac:dyDescent="0.2">
      <c r="C107" s="3" t="s">
        <v>196</v>
      </c>
      <c r="D107" s="11">
        <v>0</v>
      </c>
      <c r="E107" s="11">
        <v>-241.6</v>
      </c>
      <c r="F107" s="11">
        <v>-315.10000000000002</v>
      </c>
      <c r="G107" s="11">
        <v>-400.1</v>
      </c>
      <c r="H107" s="11">
        <v>-557.70000000000005</v>
      </c>
      <c r="I107" s="11">
        <v>-569.20000000000005</v>
      </c>
      <c r="J107" s="11">
        <v>-575</v>
      </c>
      <c r="K107" s="11">
        <v>-573</v>
      </c>
      <c r="L107" s="11">
        <v>-587.70000000000005</v>
      </c>
      <c r="M107" s="11">
        <v>-653.79999999999995</v>
      </c>
      <c r="N107" s="11">
        <v>-731.8</v>
      </c>
    </row>
    <row r="108" spans="3:14" x14ac:dyDescent="0.2">
      <c r="C108" s="3" t="s">
        <v>197</v>
      </c>
      <c r="D108" s="11">
        <v>-605.70000000000005</v>
      </c>
      <c r="E108" s="11">
        <v>-208.7</v>
      </c>
      <c r="F108" s="11">
        <v>-971.8</v>
      </c>
      <c r="G108" s="11">
        <v>-7128.7</v>
      </c>
      <c r="H108" s="11">
        <v>-62.8</v>
      </c>
      <c r="I108" s="11">
        <v>-2195.3000000000002</v>
      </c>
      <c r="J108" s="11">
        <v>-2721.3</v>
      </c>
      <c r="K108" s="11">
        <v>-1390.5</v>
      </c>
      <c r="L108" s="11">
        <v>-2159.6999999999998</v>
      </c>
      <c r="M108" s="11">
        <v>-809.7</v>
      </c>
      <c r="N108" s="11">
        <v>-957</v>
      </c>
    </row>
    <row r="109" spans="3:14" x14ac:dyDescent="0.2">
      <c r="C109" s="3" t="s">
        <v>198</v>
      </c>
      <c r="D109" s="11">
        <v>-28.4</v>
      </c>
      <c r="E109" s="11">
        <v>-38.6</v>
      </c>
      <c r="F109" s="11">
        <v>-64.900000000000006</v>
      </c>
      <c r="G109" s="11">
        <v>-31.7</v>
      </c>
      <c r="H109" s="11">
        <v>-13.6</v>
      </c>
      <c r="I109" s="11">
        <v>-14.3</v>
      </c>
      <c r="J109" s="11">
        <v>-7.7</v>
      </c>
      <c r="K109" s="11">
        <v>-9.8000000000000007</v>
      </c>
      <c r="L109" s="11">
        <v>-10.4</v>
      </c>
      <c r="M109" s="11">
        <v>-11.2</v>
      </c>
      <c r="N109" s="11">
        <v>-13.8</v>
      </c>
    </row>
    <row r="110" spans="3:14" x14ac:dyDescent="0.2">
      <c r="C110" s="3" t="s">
        <v>199</v>
      </c>
      <c r="D110" s="11">
        <v>0</v>
      </c>
      <c r="E110" s="11">
        <v>-33.799999999999997</v>
      </c>
      <c r="F110" s="11">
        <v>-1122.7</v>
      </c>
      <c r="G110" s="11">
        <v>-1038.5</v>
      </c>
      <c r="H110" s="11">
        <v>-504.3</v>
      </c>
      <c r="I110" s="11">
        <v>-50</v>
      </c>
      <c r="J110" s="11">
        <v>0</v>
      </c>
      <c r="K110" s="11">
        <v>-1365.3</v>
      </c>
      <c r="L110" s="11">
        <v>-1700.2</v>
      </c>
      <c r="M110" s="11">
        <v>-249.7</v>
      </c>
      <c r="N110" s="11">
        <v>-1123.8</v>
      </c>
    </row>
    <row r="111" spans="3:14" x14ac:dyDescent="0.2">
      <c r="C111" s="3" t="s">
        <v>211</v>
      </c>
      <c r="D111" s="11">
        <v>-13.8</v>
      </c>
      <c r="E111" s="11">
        <v>-13.3</v>
      </c>
      <c r="F111" s="11">
        <v>-14.1</v>
      </c>
      <c r="G111" s="11">
        <v>-122.2</v>
      </c>
      <c r="H111" s="11">
        <v>-34.6</v>
      </c>
      <c r="I111" s="11">
        <v>-8.1999999999999993</v>
      </c>
      <c r="J111" s="11">
        <v>-22.3</v>
      </c>
      <c r="K111" s="11">
        <v>-34.6</v>
      </c>
      <c r="L111" s="11">
        <v>-36.200000000000003</v>
      </c>
      <c r="M111" s="11">
        <v>-7.7</v>
      </c>
      <c r="N111" s="11">
        <v>-0.1</v>
      </c>
    </row>
    <row r="112" spans="3:14" x14ac:dyDescent="0.2">
      <c r="C112" s="3" t="s">
        <v>200</v>
      </c>
      <c r="D112" s="11">
        <v>-543.29999999999995</v>
      </c>
      <c r="E112" s="11">
        <v>0</v>
      </c>
      <c r="F112" s="11">
        <v>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</row>
    <row r="113" spans="3:14" x14ac:dyDescent="0.2">
      <c r="C113" s="3" t="s">
        <v>228</v>
      </c>
      <c r="D113" s="11">
        <v>0</v>
      </c>
      <c r="E113" s="11">
        <v>0</v>
      </c>
      <c r="F113" s="11">
        <v>0</v>
      </c>
      <c r="G113" s="11">
        <v>0</v>
      </c>
      <c r="H113" s="11">
        <v>0</v>
      </c>
      <c r="I113" s="11">
        <v>-11.3</v>
      </c>
      <c r="J113" s="11">
        <v>0</v>
      </c>
      <c r="K113" s="11">
        <v>0</v>
      </c>
      <c r="L113" s="11">
        <v>0</v>
      </c>
      <c r="M113" s="11">
        <v>-14.9</v>
      </c>
      <c r="N113" s="11">
        <v>-0.7</v>
      </c>
    </row>
    <row r="114" spans="3:14" x14ac:dyDescent="0.2">
      <c r="C114" s="3" t="s">
        <v>239</v>
      </c>
      <c r="D114" s="11">
        <v>0</v>
      </c>
      <c r="E114" s="11">
        <v>0</v>
      </c>
      <c r="F114" s="11">
        <v>0</v>
      </c>
      <c r="G114" s="11">
        <v>0</v>
      </c>
      <c r="H114" s="11">
        <v>0</v>
      </c>
      <c r="I114" s="11">
        <v>0</v>
      </c>
      <c r="J114" s="11">
        <v>0</v>
      </c>
      <c r="K114" s="11">
        <v>0</v>
      </c>
      <c r="L114" s="11">
        <v>0</v>
      </c>
      <c r="M114" s="11">
        <v>0</v>
      </c>
      <c r="N114" s="11">
        <v>-16.2</v>
      </c>
    </row>
    <row r="115" spans="3:14" x14ac:dyDescent="0.2">
      <c r="C115" s="3" t="s">
        <v>235</v>
      </c>
      <c r="D115" s="11">
        <v>0</v>
      </c>
      <c r="E115" s="11">
        <v>0</v>
      </c>
      <c r="F115" s="11">
        <v>0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-1500</v>
      </c>
      <c r="M115" s="11">
        <v>0</v>
      </c>
      <c r="N115" s="11">
        <v>0</v>
      </c>
    </row>
    <row r="116" spans="3:14" ht="17" thickBot="1" x14ac:dyDescent="0.25">
      <c r="C116" s="16" t="s">
        <v>201</v>
      </c>
      <c r="D116" s="8">
        <f t="shared" ref="D116:M116" si="66">SUM(D101:D115)</f>
        <v>-16.399999999999977</v>
      </c>
      <c r="E116" s="8">
        <f t="shared" si="66"/>
        <v>776.00000000000011</v>
      </c>
      <c r="F116" s="8">
        <f t="shared" si="66"/>
        <v>-134.80000000000015</v>
      </c>
      <c r="G116" s="8">
        <f t="shared" si="66"/>
        <v>-601.20000000000118</v>
      </c>
      <c r="H116" s="8">
        <f t="shared" si="66"/>
        <v>2593.2999999999993</v>
      </c>
      <c r="I116" s="8">
        <f t="shared" si="66"/>
        <v>-2031.4000000000003</v>
      </c>
      <c r="J116" s="8">
        <f t="shared" si="66"/>
        <v>-2346.6000000000004</v>
      </c>
      <c r="K116" s="8">
        <f t="shared" si="66"/>
        <v>-1929.5</v>
      </c>
      <c r="L116" s="8">
        <f t="shared" si="66"/>
        <v>-1819.9000000000005</v>
      </c>
      <c r="M116" s="8">
        <f t="shared" si="66"/>
        <v>-1474.6000000000001</v>
      </c>
      <c r="N116" s="8">
        <f>SUM(N101:N115)</f>
        <v>-2261.7999999999997</v>
      </c>
    </row>
    <row r="118" spans="3:14" ht="17" thickBot="1" x14ac:dyDescent="0.25">
      <c r="C118" s="15" t="s">
        <v>202</v>
      </c>
      <c r="D118" s="38">
        <v>-2.5</v>
      </c>
      <c r="E118" s="38">
        <v>-9.3000000000000007</v>
      </c>
      <c r="F118" s="38">
        <v>-5.0999999999999996</v>
      </c>
      <c r="G118" s="38">
        <v>5.8</v>
      </c>
      <c r="H118" s="38">
        <v>-4.5</v>
      </c>
      <c r="I118" s="38">
        <v>-0.9</v>
      </c>
      <c r="J118" s="38">
        <v>7.2</v>
      </c>
      <c r="K118" s="38">
        <v>-1.3</v>
      </c>
      <c r="L118" s="38">
        <v>-3.5</v>
      </c>
      <c r="M118" s="38">
        <v>-0.6</v>
      </c>
      <c r="N118" s="38">
        <v>0.1</v>
      </c>
    </row>
    <row r="120" spans="3:14" x14ac:dyDescent="0.2">
      <c r="C120" t="s">
        <v>203</v>
      </c>
      <c r="D120" s="11">
        <f>D88+D98+D116+D118</f>
        <v>46.199999999999704</v>
      </c>
      <c r="E120" s="11">
        <f>E118+E116+E98+E88</f>
        <v>-26.999999999998636</v>
      </c>
      <c r="F120" s="11">
        <f>F118+F116+F98+F88</f>
        <v>94.299999999999272</v>
      </c>
      <c r="G120" s="11">
        <f>G118+G116+G98+G88</f>
        <v>-87.100000000001046</v>
      </c>
      <c r="H120" s="11">
        <f t="shared" ref="H120:N120" si="67">H118+H116+H98+H88</f>
        <v>3.2999999999983629</v>
      </c>
      <c r="I120" s="11">
        <f t="shared" si="67"/>
        <v>-12.200000000001182</v>
      </c>
      <c r="J120" s="11">
        <f t="shared" si="67"/>
        <v>379.20000000000118</v>
      </c>
      <c r="K120" s="11">
        <f t="shared" si="67"/>
        <v>-261.19999999999891</v>
      </c>
      <c r="L120" s="11">
        <f t="shared" si="67"/>
        <v>-65.900000000001</v>
      </c>
      <c r="M120" s="11">
        <f t="shared" si="67"/>
        <v>18.899999999999636</v>
      </c>
      <c r="N120" s="11">
        <f t="shared" si="67"/>
        <v>-84.300000000001091</v>
      </c>
    </row>
    <row r="121" spans="3:14" x14ac:dyDescent="0.2">
      <c r="C121" t="s">
        <v>204</v>
      </c>
      <c r="D121" s="11">
        <v>63.9</v>
      </c>
      <c r="E121" s="11">
        <f t="shared" ref="E121:N121" si="68">D122</f>
        <v>110.09999999999971</v>
      </c>
      <c r="F121" s="11">
        <f t="shared" si="68"/>
        <v>83.100000000001074</v>
      </c>
      <c r="G121" s="11">
        <f t="shared" si="68"/>
        <v>177.40000000000035</v>
      </c>
      <c r="H121" s="11">
        <f t="shared" si="68"/>
        <v>90.299999999999301</v>
      </c>
      <c r="I121" s="11">
        <f t="shared" si="68"/>
        <v>93.599999999997664</v>
      </c>
      <c r="J121" s="11">
        <f t="shared" si="68"/>
        <v>81.399999999996481</v>
      </c>
      <c r="K121" s="11">
        <f t="shared" si="68"/>
        <v>460.59999999999764</v>
      </c>
      <c r="L121" s="11">
        <f t="shared" si="68"/>
        <v>199.39999999999873</v>
      </c>
      <c r="M121" s="11">
        <f t="shared" si="68"/>
        <v>133.49999999999773</v>
      </c>
      <c r="N121" s="11">
        <f t="shared" si="68"/>
        <v>152.39999999999736</v>
      </c>
    </row>
    <row r="122" spans="3:14" ht="17" thickBot="1" x14ac:dyDescent="0.25">
      <c r="C122" t="s">
        <v>205</v>
      </c>
      <c r="D122" s="37">
        <f>SUM(D120:D121)</f>
        <v>110.09999999999971</v>
      </c>
      <c r="E122" s="37">
        <f t="shared" ref="E122:N122" si="69">SUM(E120:E121)</f>
        <v>83.100000000001074</v>
      </c>
      <c r="F122" s="39">
        <f>SUM(F120:F121)</f>
        <v>177.40000000000035</v>
      </c>
      <c r="G122" s="37">
        <f t="shared" si="69"/>
        <v>90.299999999999301</v>
      </c>
      <c r="H122" s="37">
        <f t="shared" si="69"/>
        <v>93.599999999997664</v>
      </c>
      <c r="I122" s="37">
        <f t="shared" si="69"/>
        <v>81.399999999996481</v>
      </c>
      <c r="J122" s="37">
        <f t="shared" si="69"/>
        <v>460.59999999999764</v>
      </c>
      <c r="K122" s="37">
        <f t="shared" si="69"/>
        <v>199.39999999999873</v>
      </c>
      <c r="L122" s="37">
        <f t="shared" si="69"/>
        <v>133.49999999999773</v>
      </c>
      <c r="M122" s="37">
        <f t="shared" si="69"/>
        <v>152.39999999999736</v>
      </c>
      <c r="N122" s="37">
        <f t="shared" si="69"/>
        <v>68.099999999996271</v>
      </c>
    </row>
    <row r="123" spans="3:14" ht="17" thickTop="1" x14ac:dyDescent="0.2"/>
    <row r="124" spans="3:14" x14ac:dyDescent="0.2">
      <c r="C124" t="s">
        <v>206</v>
      </c>
    </row>
    <row r="125" spans="3:14" x14ac:dyDescent="0.2">
      <c r="C125" s="3" t="s">
        <v>207</v>
      </c>
    </row>
    <row r="126" spans="3:14" x14ac:dyDescent="0.2">
      <c r="C126" s="16" t="s">
        <v>208</v>
      </c>
      <c r="D126" s="7">
        <v>310.39999999999998</v>
      </c>
      <c r="E126" s="7">
        <v>325.39999999999998</v>
      </c>
      <c r="F126" s="7">
        <v>300.39999999999998</v>
      </c>
      <c r="G126" s="7">
        <v>322.2</v>
      </c>
      <c r="H126" s="7">
        <v>324.8</v>
      </c>
      <c r="I126" s="7">
        <v>448.9</v>
      </c>
      <c r="J126" s="7">
        <v>418.5</v>
      </c>
      <c r="K126" s="7">
        <v>368.5</v>
      </c>
      <c r="L126" s="7">
        <v>386.3</v>
      </c>
      <c r="M126" s="7">
        <v>418.6</v>
      </c>
      <c r="N126" s="7">
        <v>416.1</v>
      </c>
    </row>
    <row r="127" spans="3:14" x14ac:dyDescent="0.2">
      <c r="C127" s="16" t="s">
        <v>209</v>
      </c>
      <c r="D127" s="7">
        <v>80.2</v>
      </c>
      <c r="E127" s="7">
        <v>169.5</v>
      </c>
      <c r="F127" s="7">
        <v>219.6</v>
      </c>
      <c r="G127" s="7">
        <v>238.6</v>
      </c>
      <c r="H127" s="7">
        <v>186.2</v>
      </c>
      <c r="I127" s="7">
        <v>85.3</v>
      </c>
      <c r="J127" s="7">
        <v>189.7</v>
      </c>
      <c r="K127" s="7">
        <v>324.7</v>
      </c>
      <c r="L127" s="7">
        <v>129.69999999999999</v>
      </c>
      <c r="M127" s="7">
        <v>333.5</v>
      </c>
      <c r="N127" s="7">
        <v>197.1</v>
      </c>
    </row>
    <row r="128" spans="3:14" x14ac:dyDescent="0.2">
      <c r="C128" s="16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</row>
    <row r="129" spans="3:25" x14ac:dyDescent="0.2">
      <c r="C129" s="16" t="s">
        <v>310</v>
      </c>
      <c r="D129" s="25">
        <f>-D11/D8</f>
        <v>0.17889847378898474</v>
      </c>
      <c r="E129" s="25">
        <f>-E11/E8</f>
        <v>0.17976910390324352</v>
      </c>
      <c r="F129" s="25">
        <f>-F11/F8</f>
        <v>0.19018999877067658</v>
      </c>
      <c r="G129" s="25">
        <f t="shared" ref="G129:N129" si="70">-G11/G8</f>
        <v>0.20219516377979763</v>
      </c>
      <c r="H129" s="25">
        <f t="shared" si="70"/>
        <v>0.20553228191227207</v>
      </c>
      <c r="I129" s="25">
        <f t="shared" si="70"/>
        <v>0.19437885779349193</v>
      </c>
      <c r="J129" s="25">
        <f t="shared" si="70"/>
        <v>0.19328140779347405</v>
      </c>
      <c r="K129" s="25">
        <f t="shared" si="70"/>
        <v>0.19382815422812247</v>
      </c>
      <c r="L129" s="25">
        <f t="shared" si="70"/>
        <v>0.2037640437551573</v>
      </c>
      <c r="M129" s="25">
        <f t="shared" si="70"/>
        <v>0.18548856632335523</v>
      </c>
      <c r="N129" s="25">
        <f t="shared" si="70"/>
        <v>0.19101354726850631</v>
      </c>
    </row>
    <row r="130" spans="3:25" x14ac:dyDescent="0.2">
      <c r="C130" s="16" t="s">
        <v>311</v>
      </c>
      <c r="D130" s="25">
        <f>-D7/D6</f>
        <v>9.6536322896839069E-2</v>
      </c>
      <c r="E130" s="25">
        <f t="shared" ref="E130:N130" si="71">-E7/E6</f>
        <v>9.3496497688197344E-2</v>
      </c>
      <c r="F130" s="25">
        <f t="shared" si="71"/>
        <v>9.0682134340222584E-2</v>
      </c>
      <c r="G130" s="25">
        <f t="shared" si="71"/>
        <v>8.9136155537664769E-2</v>
      </c>
      <c r="H130" s="25">
        <f t="shared" si="71"/>
        <v>8.6478394471145734E-2</v>
      </c>
      <c r="I130" s="25">
        <f t="shared" si="71"/>
        <v>8.4439811258641501E-2</v>
      </c>
      <c r="J130" s="25">
        <f t="shared" si="71"/>
        <v>7.9181675342304678E-2</v>
      </c>
      <c r="K130" s="25">
        <f t="shared" si="71"/>
        <v>7.4340703739072936E-2</v>
      </c>
      <c r="L130" s="25">
        <f t="shared" si="71"/>
        <v>7.1198364972684031E-2</v>
      </c>
      <c r="M130" s="25">
        <f t="shared" si="71"/>
        <v>6.9946783680328639E-2</v>
      </c>
      <c r="N130" s="25">
        <f t="shared" si="71"/>
        <v>6.8285737754291823E-2</v>
      </c>
    </row>
    <row r="131" spans="3:25" x14ac:dyDescent="0.2">
      <c r="C131" t="s">
        <v>212</v>
      </c>
      <c r="D131" s="22">
        <f t="shared" ref="D131:M131" si="72">D88+(D126*(1-0.26))-D93</f>
        <v>2030.0959999999995</v>
      </c>
      <c r="E131" s="22">
        <f t="shared" si="72"/>
        <v>2545.7960000000007</v>
      </c>
      <c r="F131" s="22">
        <f t="shared" si="72"/>
        <v>2825.6959999999995</v>
      </c>
      <c r="G131" s="22">
        <f t="shared" si="72"/>
        <v>3227.4279999999999</v>
      </c>
      <c r="H131" s="22">
        <f t="shared" si="72"/>
        <v>3372.9519999999993</v>
      </c>
      <c r="I131" s="22">
        <f t="shared" si="72"/>
        <v>3609.7859999999996</v>
      </c>
      <c r="J131" s="22">
        <f t="shared" si="72"/>
        <v>3980.7900000000018</v>
      </c>
      <c r="K131" s="22">
        <f t="shared" si="72"/>
        <v>4004.8900000000012</v>
      </c>
      <c r="L131" s="22">
        <f t="shared" si="72"/>
        <v>4078.1619999999998</v>
      </c>
      <c r="M131" s="22">
        <f t="shared" si="72"/>
        <v>4358.8639999999996</v>
      </c>
      <c r="N131" s="22">
        <f>N88+(N126*(1-0.26))-N93</f>
        <v>4674.2139999999981</v>
      </c>
      <c r="O131" s="22">
        <f>$N$134*O6</f>
        <v>4674.2139999999981</v>
      </c>
      <c r="P131" s="22">
        <f t="shared" ref="P131:S131" si="73">$N$134*P6</f>
        <v>4674.2139999999981</v>
      </c>
      <c r="Q131" s="22">
        <f t="shared" si="73"/>
        <v>4674.2139999999981</v>
      </c>
      <c r="R131" s="22">
        <f t="shared" si="73"/>
        <v>4674.2139999999981</v>
      </c>
      <c r="S131" s="22">
        <f t="shared" si="73"/>
        <v>4674.2139999999981</v>
      </c>
      <c r="T131" s="22">
        <f>S131*((1-0.01)/(0.09+0.01))</f>
        <v>46274.718599999986</v>
      </c>
      <c r="U131" s="22"/>
      <c r="V131" s="22"/>
      <c r="W131" s="22"/>
      <c r="X131" s="22"/>
      <c r="Y131" s="22"/>
    </row>
    <row r="132" spans="3:25" x14ac:dyDescent="0.2">
      <c r="C132" t="s">
        <v>237</v>
      </c>
      <c r="D132" s="22"/>
      <c r="E132" s="17">
        <f>(E131-D131)/D131</f>
        <v>0.25402739574877309</v>
      </c>
      <c r="F132" s="17">
        <f t="shared" ref="F132:N132" si="74">(F131-E131)/E131</f>
        <v>0.10994596581972736</v>
      </c>
      <c r="G132" s="17">
        <f t="shared" si="74"/>
        <v>0.14217099079306497</v>
      </c>
      <c r="H132" s="17">
        <f t="shared" si="74"/>
        <v>4.5089774272268644E-2</v>
      </c>
      <c r="I132" s="17">
        <f t="shared" si="74"/>
        <v>7.0215644930612803E-2</v>
      </c>
      <c r="J132" s="17">
        <f t="shared" si="74"/>
        <v>0.10277728375033927</v>
      </c>
      <c r="K132" s="17">
        <f t="shared" si="74"/>
        <v>6.0540746937164337E-3</v>
      </c>
      <c r="L132" s="17">
        <f t="shared" si="74"/>
        <v>1.8295633587938381E-2</v>
      </c>
      <c r="M132" s="17">
        <f t="shared" si="74"/>
        <v>6.8830517277145883E-2</v>
      </c>
      <c r="N132" s="17">
        <f t="shared" si="74"/>
        <v>7.2346831651549245E-2</v>
      </c>
    </row>
    <row r="133" spans="3:25" x14ac:dyDescent="0.2">
      <c r="C133" t="s">
        <v>213</v>
      </c>
      <c r="D133" s="17">
        <f t="shared" ref="D133:N133" si="75">-(D93/D6)</f>
        <v>0.10782212496815095</v>
      </c>
      <c r="E133" s="17">
        <f t="shared" si="75"/>
        <v>0.12338381461280766</v>
      </c>
      <c r="F133" s="17">
        <f t="shared" si="75"/>
        <v>0.11270369634340223</v>
      </c>
      <c r="G133" s="17">
        <f t="shared" si="75"/>
        <v>0.12708330829958783</v>
      </c>
      <c r="H133" s="17">
        <f t="shared" si="75"/>
        <v>9.9760251229697339E-2</v>
      </c>
      <c r="I133" s="17">
        <f t="shared" si="75"/>
        <v>7.9721277296170304E-2</v>
      </c>
      <c r="J133" s="17">
        <f t="shared" si="75"/>
        <v>9.2414250136280546E-2</v>
      </c>
      <c r="K133" s="17">
        <f t="shared" si="75"/>
        <v>0.10775414257380024</v>
      </c>
      <c r="L133" s="17">
        <f t="shared" si="75"/>
        <v>0.10173721652320875</v>
      </c>
      <c r="M133" s="17">
        <f t="shared" si="75"/>
        <v>0.11848566893847445</v>
      </c>
      <c r="N133" s="17">
        <f t="shared" si="75"/>
        <v>0.11080688880979109</v>
      </c>
    </row>
    <row r="134" spans="3:25" x14ac:dyDescent="0.2">
      <c r="C134" t="s">
        <v>229</v>
      </c>
      <c r="D134" s="17">
        <f t="shared" ref="D134:N134" si="76">D131/D6</f>
        <v>0.30426642286536465</v>
      </c>
      <c r="E134" s="17">
        <f t="shared" si="76"/>
        <v>0.35241784102549911</v>
      </c>
      <c r="F134" s="17">
        <f t="shared" si="76"/>
        <v>0.35096581875993632</v>
      </c>
      <c r="G134" s="17">
        <f t="shared" si="76"/>
        <v>0.38781413345189314</v>
      </c>
      <c r="H134" s="17">
        <f t="shared" si="76"/>
        <v>0.3796530959107639</v>
      </c>
      <c r="I134" s="17">
        <f t="shared" si="76"/>
        <v>0.39611390321518702</v>
      </c>
      <c r="J134" s="17">
        <f t="shared" si="76"/>
        <v>0.42549354938700484</v>
      </c>
      <c r="K134" s="17">
        <f t="shared" si="76"/>
        <v>0.4202799844686278</v>
      </c>
      <c r="L134" s="17">
        <f t="shared" si="76"/>
        <v>0.40071552096843921</v>
      </c>
      <c r="M134" s="17">
        <f t="shared" si="76"/>
        <v>0.40695210531229575</v>
      </c>
      <c r="N134" s="17">
        <f t="shared" si="76"/>
        <v>0.42660004198267742</v>
      </c>
    </row>
    <row r="136" spans="3:25" x14ac:dyDescent="0.2">
      <c r="C136" t="s">
        <v>384</v>
      </c>
      <c r="D136" s="18">
        <f>SUM(D79:D86)</f>
        <v>-107.00000000000003</v>
      </c>
      <c r="E136" s="18">
        <f t="shared" ref="E136:N136" si="77">SUM(E79:E86)</f>
        <v>-186</v>
      </c>
      <c r="F136" s="18">
        <f t="shared" si="77"/>
        <v>-61.8</v>
      </c>
      <c r="G136" s="18">
        <f t="shared" si="77"/>
        <v>-297.29999999999995</v>
      </c>
      <c r="H136" s="18">
        <f t="shared" si="77"/>
        <v>-85.199999999999989</v>
      </c>
      <c r="I136" s="18">
        <f t="shared" si="77"/>
        <v>-10</v>
      </c>
      <c r="J136" s="18">
        <f t="shared" si="77"/>
        <v>84.9</v>
      </c>
      <c r="K136" s="18">
        <f t="shared" si="77"/>
        <v>-209.00000000000003</v>
      </c>
      <c r="L136" s="18">
        <f t="shared" si="77"/>
        <v>-156.39999999999995</v>
      </c>
      <c r="M136" s="18">
        <f t="shared" si="77"/>
        <v>-273.20000000000005</v>
      </c>
      <c r="N136" s="18">
        <f t="shared" si="77"/>
        <v>-300.8</v>
      </c>
      <c r="O136">
        <v>1</v>
      </c>
      <c r="P136">
        <v>2</v>
      </c>
      <c r="Q136">
        <v>3</v>
      </c>
      <c r="R136">
        <v>4</v>
      </c>
      <c r="S136">
        <v>5</v>
      </c>
      <c r="T136">
        <v>5</v>
      </c>
    </row>
    <row r="137" spans="3:25" x14ac:dyDescent="0.2">
      <c r="C137" t="s">
        <v>385</v>
      </c>
      <c r="D137" s="17">
        <f>-D136/D8</f>
        <v>1.7750497677504983E-2</v>
      </c>
      <c r="E137" s="17">
        <f t="shared" ref="E137:N137" si="78">-E136/E8</f>
        <v>2.8403884918453359E-2</v>
      </c>
      <c r="F137" s="17">
        <f t="shared" si="78"/>
        <v>8.4413544412724872E-3</v>
      </c>
      <c r="G137" s="17">
        <f t="shared" si="78"/>
        <v>3.922008363785074E-2</v>
      </c>
      <c r="H137" s="17">
        <f t="shared" si="78"/>
        <v>1.0497782158698865E-2</v>
      </c>
      <c r="I137" s="17">
        <f t="shared" si="78"/>
        <v>1.1985377839036375E-3</v>
      </c>
      <c r="J137" s="17">
        <f t="shared" si="78"/>
        <v>-9.8550186305122502E-3</v>
      </c>
      <c r="K137" s="17">
        <f t="shared" si="78"/>
        <v>2.3694264627523894E-2</v>
      </c>
      <c r="L137" s="17">
        <f t="shared" si="78"/>
        <v>1.6545712290798292E-2</v>
      </c>
      <c r="M137" s="17">
        <f t="shared" si="78"/>
        <v>2.7424762593105671E-2</v>
      </c>
      <c r="N137" s="17">
        <f t="shared" si="78"/>
        <v>2.9465064111982922E-2</v>
      </c>
    </row>
    <row r="138" spans="3:25" x14ac:dyDescent="0.2">
      <c r="D138" s="19">
        <f>AVERAGE(D137:N137)</f>
        <v>1.7526084146416598E-2</v>
      </c>
      <c r="O138" s="22">
        <f>O131/(1+0.09)^O136</f>
        <v>4288.2697247706401</v>
      </c>
      <c r="P138" s="22">
        <f t="shared" ref="P138:S138" si="79">P131/(1+0.09)^P136</f>
        <v>3934.1924080464587</v>
      </c>
      <c r="Q138" s="22">
        <f t="shared" si="79"/>
        <v>3609.3508330701457</v>
      </c>
      <c r="R138" s="22">
        <f t="shared" si="79"/>
        <v>3311.3310395138947</v>
      </c>
      <c r="S138" s="22">
        <f t="shared" si="79"/>
        <v>3037.9183848751327</v>
      </c>
      <c r="T138" s="22">
        <f>T131/(1+0.09)^T136</f>
        <v>30075.392010263815</v>
      </c>
      <c r="U138" s="22"/>
      <c r="V138" s="22"/>
      <c r="W138" s="22"/>
      <c r="X138" s="22"/>
      <c r="Y138" s="22"/>
    </row>
    <row r="140" spans="3:25" x14ac:dyDescent="0.2">
      <c r="O140" s="22">
        <f>SUM(O138:X138)+Y138</f>
        <v>48256.454400540082</v>
      </c>
    </row>
    <row r="141" spans="3:25" x14ac:dyDescent="0.2">
      <c r="O141" s="22">
        <f>O140/177.991</f>
        <v>271.11738458989544</v>
      </c>
    </row>
  </sheetData>
  <mergeCells count="1">
    <mergeCell ref="D3:G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2D844-A9B4-B348-8120-800227F48B6D}">
  <dimension ref="A1:R57"/>
  <sheetViews>
    <sheetView topLeftCell="C10" workbookViewId="0">
      <selection activeCell="I36" sqref="I36"/>
    </sheetView>
    <sheetView workbookViewId="1"/>
  </sheetViews>
  <sheetFormatPr baseColWidth="10" defaultColWidth="11" defaultRowHeight="16" x14ac:dyDescent="0.2"/>
  <cols>
    <col min="4" max="4" width="20.83203125" customWidth="1"/>
    <col min="5" max="5" width="12.1640625" customWidth="1"/>
    <col min="8" max="8" width="11.33203125" bestFit="1" customWidth="1"/>
  </cols>
  <sheetData>
    <row r="1" spans="1:14" x14ac:dyDescent="0.2">
      <c r="A1" t="s">
        <v>47</v>
      </c>
    </row>
    <row r="5" spans="1:14" x14ac:dyDescent="0.2">
      <c r="D5" t="s">
        <v>58</v>
      </c>
      <c r="E5">
        <v>2017</v>
      </c>
      <c r="F5">
        <v>2018</v>
      </c>
      <c r="G5">
        <v>2019</v>
      </c>
      <c r="H5">
        <v>2020</v>
      </c>
      <c r="I5">
        <v>2021</v>
      </c>
      <c r="J5">
        <v>2022</v>
      </c>
      <c r="K5">
        <v>2023</v>
      </c>
      <c r="L5">
        <v>2024</v>
      </c>
      <c r="M5">
        <v>2025</v>
      </c>
    </row>
    <row r="6" spans="1:14" x14ac:dyDescent="0.2">
      <c r="D6" t="s">
        <v>49</v>
      </c>
      <c r="E6">
        <v>4227.3</v>
      </c>
      <c r="F6">
        <v>4660.3999999999996</v>
      </c>
      <c r="G6">
        <v>5202.1000000000004</v>
      </c>
      <c r="H6">
        <v>5615.9</v>
      </c>
      <c r="I6">
        <v>6074.6</v>
      </c>
      <c r="J6">
        <v>6751.6</v>
      </c>
      <c r="K6">
        <v>7465</v>
      </c>
      <c r="L6">
        <v>8162.6</v>
      </c>
      <c r="M6">
        <v>8539.7999999999993</v>
      </c>
    </row>
    <row r="7" spans="1:14" x14ac:dyDescent="0.2">
      <c r="D7" s="3" t="s">
        <v>55</v>
      </c>
      <c r="E7" s="3"/>
      <c r="F7" s="17">
        <f>(F6-E6)/E6</f>
        <v>0.10245310245310232</v>
      </c>
      <c r="G7" s="17">
        <f t="shared" ref="G7:M7" si="0">(G6-F6)/F6</f>
        <v>0.11623465796927319</v>
      </c>
      <c r="H7" s="17">
        <f t="shared" si="0"/>
        <v>7.9544799215701206E-2</v>
      </c>
      <c r="I7" s="17">
        <f t="shared" si="0"/>
        <v>8.1678804822023318E-2</v>
      </c>
      <c r="J7" s="17">
        <f t="shared" si="0"/>
        <v>0.1114476673361209</v>
      </c>
      <c r="K7" s="17">
        <f t="shared" si="0"/>
        <v>0.10566384264470638</v>
      </c>
      <c r="L7" s="17">
        <f t="shared" si="0"/>
        <v>9.3449430676490336E-2</v>
      </c>
      <c r="M7" s="17">
        <f t="shared" si="0"/>
        <v>4.6210766177443324E-2</v>
      </c>
      <c r="N7" s="19"/>
    </row>
    <row r="8" spans="1:14" x14ac:dyDescent="0.2">
      <c r="D8" t="s">
        <v>51</v>
      </c>
    </row>
    <row r="9" spans="1:14" x14ac:dyDescent="0.2">
      <c r="D9" s="3" t="s">
        <v>50</v>
      </c>
      <c r="E9" s="3">
        <v>2732.7</v>
      </c>
      <c r="F9">
        <v>2556.3000000000002</v>
      </c>
      <c r="G9">
        <v>2532.5</v>
      </c>
      <c r="H9">
        <v>2367.5</v>
      </c>
      <c r="I9">
        <v>2208.4</v>
      </c>
      <c r="J9">
        <v>1819.3</v>
      </c>
      <c r="K9">
        <v>1722.7</v>
      </c>
      <c r="L9">
        <v>1552.1</v>
      </c>
      <c r="M9">
        <v>1450.1</v>
      </c>
    </row>
    <row r="10" spans="1:14" x14ac:dyDescent="0.2">
      <c r="D10" s="16" t="s">
        <v>55</v>
      </c>
      <c r="E10" s="16"/>
      <c r="F10" s="17">
        <f>(F9-E9)/E9</f>
        <v>-6.4551542430563047E-2</v>
      </c>
      <c r="G10" s="17">
        <f t="shared" ref="G10:M10" si="1">(G9-F9)/F9</f>
        <v>-9.3103313382624023E-3</v>
      </c>
      <c r="H10" s="17">
        <f t="shared" si="1"/>
        <v>-6.5153010858835139E-2</v>
      </c>
      <c r="I10" s="17">
        <f t="shared" si="1"/>
        <v>-6.7201689545934487E-2</v>
      </c>
      <c r="J10" s="17">
        <f t="shared" si="1"/>
        <v>-0.17619090744430363</v>
      </c>
      <c r="K10" s="17">
        <f t="shared" si="1"/>
        <v>-5.3097345132743314E-2</v>
      </c>
      <c r="L10" s="17">
        <f t="shared" si="1"/>
        <v>-9.9030591513322191E-2</v>
      </c>
      <c r="M10" s="17">
        <f t="shared" si="1"/>
        <v>-6.5717415115005479E-2</v>
      </c>
    </row>
    <row r="11" spans="1:14" x14ac:dyDescent="0.2">
      <c r="D11" s="3" t="s">
        <v>52</v>
      </c>
      <c r="E11" s="3">
        <v>361.1</v>
      </c>
      <c r="F11">
        <v>363.6</v>
      </c>
      <c r="G11">
        <v>381.4</v>
      </c>
      <c r="H11">
        <v>360.1</v>
      </c>
      <c r="I11">
        <v>331.9</v>
      </c>
      <c r="J11">
        <v>249.8</v>
      </c>
      <c r="K11">
        <v>264.89999999999998</v>
      </c>
      <c r="L11">
        <v>247.1</v>
      </c>
      <c r="M11">
        <v>218.8</v>
      </c>
    </row>
    <row r="12" spans="1:14" x14ac:dyDescent="0.2">
      <c r="D12" s="16" t="s">
        <v>55</v>
      </c>
      <c r="E12" s="16"/>
      <c r="F12" s="17">
        <f>(F11-E11)/E11</f>
        <v>6.9232899473829958E-3</v>
      </c>
      <c r="G12" s="17">
        <f t="shared" ref="G12:M12" si="2">(G11-F11)/F11</f>
        <v>4.8954895489548823E-2</v>
      </c>
      <c r="H12" s="17">
        <f t="shared" si="2"/>
        <v>-5.584687991609847E-2</v>
      </c>
      <c r="I12" s="17">
        <f t="shared" si="2"/>
        <v>-7.8311580116634388E-2</v>
      </c>
      <c r="J12" s="17">
        <f t="shared" si="2"/>
        <v>-0.24736366375414273</v>
      </c>
      <c r="K12" s="17">
        <f t="shared" si="2"/>
        <v>6.0448358686949422E-2</v>
      </c>
      <c r="L12" s="17">
        <f t="shared" si="2"/>
        <v>-6.7195167987919913E-2</v>
      </c>
      <c r="M12" s="17">
        <f t="shared" si="2"/>
        <v>-0.1145285309591258</v>
      </c>
    </row>
    <row r="13" spans="1:14" x14ac:dyDescent="0.2">
      <c r="D13" t="s">
        <v>53</v>
      </c>
      <c r="E13">
        <f>E9+E11</f>
        <v>3093.7999999999997</v>
      </c>
      <c r="F13">
        <f t="shared" ref="F13:M13" si="3">F9+F11</f>
        <v>2919.9</v>
      </c>
      <c r="G13">
        <f t="shared" si="3"/>
        <v>2913.9</v>
      </c>
      <c r="H13">
        <f t="shared" si="3"/>
        <v>2727.6</v>
      </c>
      <c r="I13">
        <f>I9+I11</f>
        <v>2540.3000000000002</v>
      </c>
      <c r="J13">
        <f t="shared" si="3"/>
        <v>2069.1</v>
      </c>
      <c r="K13">
        <f t="shared" si="3"/>
        <v>1987.6</v>
      </c>
      <c r="L13">
        <f>L9+L11</f>
        <v>1799.1999999999998</v>
      </c>
      <c r="M13">
        <f t="shared" si="3"/>
        <v>1668.8999999999999</v>
      </c>
    </row>
    <row r="14" spans="1:14" x14ac:dyDescent="0.2">
      <c r="D14" s="3" t="s">
        <v>55</v>
      </c>
      <c r="E14" s="3"/>
      <c r="F14" s="17">
        <f>(F13-E13)/E13</f>
        <v>-5.6209192578705686E-2</v>
      </c>
      <c r="G14" s="17">
        <f t="shared" ref="G14:M14" si="4">(G13-F13)/F13</f>
        <v>-2.0548648926333093E-3</v>
      </c>
      <c r="H14" s="17">
        <f t="shared" si="4"/>
        <v>-6.3934932564604197E-2</v>
      </c>
      <c r="I14" s="17">
        <f t="shared" si="4"/>
        <v>-6.8668426455491913E-2</v>
      </c>
      <c r="J14" s="17">
        <f t="shared" si="4"/>
        <v>-0.18548990276738977</v>
      </c>
      <c r="K14" s="17">
        <f t="shared" si="4"/>
        <v>-3.9389106374752313E-2</v>
      </c>
      <c r="L14" s="17">
        <f t="shared" si="4"/>
        <v>-9.478768363855912E-2</v>
      </c>
      <c r="M14" s="17">
        <f t="shared" si="4"/>
        <v>-7.2421076033792775E-2</v>
      </c>
    </row>
    <row r="15" spans="1:14" x14ac:dyDescent="0.2">
      <c r="D15" s="3" t="s">
        <v>54</v>
      </c>
      <c r="E15" s="3">
        <f>E6+E13</f>
        <v>7321.1</v>
      </c>
      <c r="F15" s="3">
        <f t="shared" ref="F15:M15" si="5">F6+F13</f>
        <v>7580.2999999999993</v>
      </c>
      <c r="G15" s="3">
        <f t="shared" si="5"/>
        <v>8116</v>
      </c>
      <c r="H15" s="3">
        <f t="shared" si="5"/>
        <v>8343.5</v>
      </c>
      <c r="I15" s="3">
        <f t="shared" si="5"/>
        <v>8614.9000000000015</v>
      </c>
      <c r="J15" s="3">
        <f t="shared" si="5"/>
        <v>8820.7000000000007</v>
      </c>
      <c r="K15" s="3">
        <f t="shared" si="5"/>
        <v>9452.6</v>
      </c>
      <c r="L15" s="3">
        <f>L6+L13</f>
        <v>9961.7999999999993</v>
      </c>
      <c r="M15" s="3">
        <f t="shared" si="5"/>
        <v>10208.699999999999</v>
      </c>
    </row>
    <row r="16" spans="1:14" x14ac:dyDescent="0.2">
      <c r="D16" s="16" t="s">
        <v>55</v>
      </c>
      <c r="E16" s="16"/>
      <c r="F16" s="17">
        <f>(F15-E15)/E15</f>
        <v>3.5404515714851439E-2</v>
      </c>
      <c r="G16" s="17">
        <f t="shared" ref="G16:M16" si="6">(G15-F15)/F15</f>
        <v>7.0670026252259252E-2</v>
      </c>
      <c r="H16" s="17">
        <f t="shared" si="6"/>
        <v>2.8031049778215869E-2</v>
      </c>
      <c r="I16" s="17">
        <f t="shared" si="6"/>
        <v>3.2528315455144896E-2</v>
      </c>
      <c r="J16" s="17">
        <f t="shared" si="6"/>
        <v>2.3888843747460708E-2</v>
      </c>
      <c r="K16" s="17">
        <f t="shared" si="6"/>
        <v>7.1638305349915499E-2</v>
      </c>
      <c r="L16" s="17">
        <f t="shared" si="6"/>
        <v>5.3868776844465956E-2</v>
      </c>
      <c r="M16" s="17">
        <f t="shared" si="6"/>
        <v>2.4784677467927448E-2</v>
      </c>
    </row>
    <row r="17" spans="4:18" x14ac:dyDescent="0.2">
      <c r="D17" s="19">
        <f>AVERAGE(F16:M16)</f>
        <v>4.260181382628013E-2</v>
      </c>
    </row>
    <row r="19" spans="4:18" x14ac:dyDescent="0.2">
      <c r="D19" t="s">
        <v>56</v>
      </c>
    </row>
    <row r="20" spans="4:18" x14ac:dyDescent="0.2">
      <c r="D20" t="s">
        <v>49</v>
      </c>
      <c r="E20" s="17">
        <f t="shared" ref="E20:M20" si="7">E6/E15</f>
        <v>0.57741323025228453</v>
      </c>
      <c r="F20" s="17">
        <f t="shared" si="7"/>
        <v>0.61480416342361122</v>
      </c>
      <c r="G20" s="17">
        <f t="shared" si="7"/>
        <v>0.64096845736816166</v>
      </c>
      <c r="H20" s="17">
        <f t="shared" si="7"/>
        <v>0.67308683406244374</v>
      </c>
      <c r="I20" s="17">
        <f t="shared" si="7"/>
        <v>0.70512716340294135</v>
      </c>
      <c r="J20" s="17">
        <f t="shared" si="7"/>
        <v>0.76542678018751342</v>
      </c>
      <c r="K20" s="17">
        <f t="shared" si="7"/>
        <v>0.78972980978778318</v>
      </c>
      <c r="L20" s="17">
        <f t="shared" si="7"/>
        <v>0.81939007006765852</v>
      </c>
      <c r="M20" s="17">
        <f t="shared" si="7"/>
        <v>0.83652179023773843</v>
      </c>
    </row>
    <row r="21" spans="4:18" x14ac:dyDescent="0.2">
      <c r="D21" t="s">
        <v>57</v>
      </c>
      <c r="E21" s="17">
        <f t="shared" ref="E21:M21" si="8">E11/E15</f>
        <v>4.9323189138244253E-2</v>
      </c>
      <c r="F21" s="17">
        <f t="shared" si="8"/>
        <v>4.7966439322981946E-2</v>
      </c>
      <c r="G21" s="17">
        <f t="shared" si="8"/>
        <v>4.6993592902907833E-2</v>
      </c>
      <c r="H21" s="17">
        <f t="shared" si="8"/>
        <v>4.3159345598369994E-2</v>
      </c>
      <c r="I21" s="17">
        <f t="shared" si="8"/>
        <v>3.8526274245783462E-2</v>
      </c>
      <c r="J21" s="17">
        <f t="shared" si="8"/>
        <v>2.8319747865815637E-2</v>
      </c>
      <c r="K21" s="17">
        <f t="shared" si="8"/>
        <v>2.8024035715041362E-2</v>
      </c>
      <c r="L21" s="17">
        <f t="shared" si="8"/>
        <v>2.4804754160894619E-2</v>
      </c>
      <c r="M21" s="17">
        <f t="shared" si="8"/>
        <v>2.1432699560179066E-2</v>
      </c>
    </row>
    <row r="22" spans="4:18" x14ac:dyDescent="0.2">
      <c r="D22" t="s">
        <v>50</v>
      </c>
      <c r="E22" s="17">
        <f>E9/E15</f>
        <v>0.37326358060947123</v>
      </c>
      <c r="F22" s="17">
        <f t="shared" ref="F22:M22" si="9">F9/F15</f>
        <v>0.33722939725340689</v>
      </c>
      <c r="G22" s="17">
        <f t="shared" si="9"/>
        <v>0.31203794972893051</v>
      </c>
      <c r="H22" s="17">
        <f t="shared" si="9"/>
        <v>0.28375382033918617</v>
      </c>
      <c r="I22" s="17">
        <f t="shared" si="9"/>
        <v>0.25634656235127506</v>
      </c>
      <c r="J22" s="17">
        <f t="shared" si="9"/>
        <v>0.20625347194667087</v>
      </c>
      <c r="K22" s="17">
        <f t="shared" si="9"/>
        <v>0.18224615449717538</v>
      </c>
      <c r="L22" s="17">
        <f t="shared" si="9"/>
        <v>0.15580517577144692</v>
      </c>
      <c r="M22" s="17">
        <f t="shared" si="9"/>
        <v>0.14204551020208253</v>
      </c>
    </row>
    <row r="23" spans="4:18" x14ac:dyDescent="0.2">
      <c r="H23" s="18"/>
    </row>
    <row r="25" spans="4:18" ht="17" thickBot="1" x14ac:dyDescent="0.25">
      <c r="E25" s="2">
        <v>2017</v>
      </c>
      <c r="F25" s="2">
        <v>2018</v>
      </c>
      <c r="G25" s="2">
        <v>2019</v>
      </c>
      <c r="H25" s="2">
        <v>2020</v>
      </c>
      <c r="I25" s="2">
        <v>2021</v>
      </c>
      <c r="J25" s="2">
        <v>2022</v>
      </c>
      <c r="K25" s="2">
        <v>2023</v>
      </c>
      <c r="L25" s="2">
        <v>2024</v>
      </c>
      <c r="M25" s="2">
        <v>2025</v>
      </c>
      <c r="N25" s="24">
        <v>2026</v>
      </c>
      <c r="O25" s="24">
        <v>2027</v>
      </c>
      <c r="P25" s="24">
        <v>2028</v>
      </c>
      <c r="Q25" s="24">
        <v>2029</v>
      </c>
      <c r="R25" s="24">
        <v>2030</v>
      </c>
    </row>
    <row r="26" spans="4:18" x14ac:dyDescent="0.2">
      <c r="D26" t="s">
        <v>70</v>
      </c>
      <c r="E26">
        <v>4227.3</v>
      </c>
      <c r="F26">
        <v>4660.3999999999996</v>
      </c>
      <c r="G26">
        <v>5202.1000000000004</v>
      </c>
      <c r="H26">
        <v>5615.9</v>
      </c>
      <c r="I26">
        <v>6074.6</v>
      </c>
      <c r="J26">
        <v>6751.6</v>
      </c>
      <c r="K26">
        <v>7465</v>
      </c>
      <c r="L26">
        <v>8162.6</v>
      </c>
      <c r="M26">
        <v>8539.7999999999993</v>
      </c>
      <c r="N26" s="22">
        <f>N32*N30</f>
        <v>8857.6869333108407</v>
      </c>
      <c r="O26" s="22">
        <f t="shared" ref="O26:R26" si="10">O32*O30</f>
        <v>9165.1402109474329</v>
      </c>
      <c r="P26" s="22">
        <f t="shared" si="10"/>
        <v>9454.4329881537724</v>
      </c>
      <c r="Q26" s="22">
        <f t="shared" si="10"/>
        <v>9729.9105819231718</v>
      </c>
      <c r="R26" s="22">
        <f t="shared" si="10"/>
        <v>9991.179076129225</v>
      </c>
    </row>
    <row r="27" spans="4:18" x14ac:dyDescent="0.2">
      <c r="D27" s="3" t="s">
        <v>60</v>
      </c>
      <c r="F27" s="17">
        <f>(F26-E26)/E26</f>
        <v>0.10245310245310232</v>
      </c>
      <c r="G27" s="17">
        <f t="shared" ref="G27:R27" si="11">(G26-F26)/F26</f>
        <v>0.11623465796927319</v>
      </c>
      <c r="H27" s="17">
        <f t="shared" si="11"/>
        <v>7.9544799215701206E-2</v>
      </c>
      <c r="I27" s="17">
        <f t="shared" si="11"/>
        <v>8.1678804822023318E-2</v>
      </c>
      <c r="J27" s="17">
        <f t="shared" si="11"/>
        <v>0.1114476673361209</v>
      </c>
      <c r="K27" s="17">
        <f t="shared" si="11"/>
        <v>0.10566384264470638</v>
      </c>
      <c r="L27" s="17">
        <f t="shared" si="11"/>
        <v>9.3449430676490336E-2</v>
      </c>
      <c r="M27" s="17">
        <f t="shared" si="11"/>
        <v>4.6210766177443324E-2</v>
      </c>
      <c r="N27" s="17">
        <f>(N26-M26)/M26</f>
        <v>3.722416605902263E-2</v>
      </c>
      <c r="O27" s="17">
        <f t="shared" si="11"/>
        <v>3.4710334645082323E-2</v>
      </c>
      <c r="P27" s="17">
        <f t="shared" si="11"/>
        <v>3.156446825121012E-2</v>
      </c>
      <c r="Q27" s="17">
        <f t="shared" si="11"/>
        <v>2.9137399790613319E-2</v>
      </c>
      <c r="R27" s="17">
        <f t="shared" si="11"/>
        <v>2.6852096122183686E-2</v>
      </c>
    </row>
    <row r="28" spans="4:18" x14ac:dyDescent="0.2">
      <c r="D28" s="16" t="s">
        <v>64</v>
      </c>
      <c r="G28">
        <v>446.5</v>
      </c>
      <c r="H28">
        <v>330.9</v>
      </c>
      <c r="I28">
        <v>451.6</v>
      </c>
      <c r="J28">
        <v>534.79999999999995</v>
      </c>
      <c r="K28">
        <v>463.9</v>
      </c>
      <c r="L28">
        <v>564.5</v>
      </c>
      <c r="M28">
        <v>264.2</v>
      </c>
    </row>
    <row r="29" spans="4:18" x14ac:dyDescent="0.2">
      <c r="D29" s="16" t="s">
        <v>65</v>
      </c>
      <c r="G29">
        <v>102.8</v>
      </c>
      <c r="H29">
        <v>118.4</v>
      </c>
      <c r="I29">
        <v>69.7</v>
      </c>
      <c r="J29">
        <v>182.4</v>
      </c>
      <c r="K29">
        <v>279.7</v>
      </c>
      <c r="L29">
        <v>147.6</v>
      </c>
      <c r="M29">
        <v>168.1</v>
      </c>
    </row>
    <row r="30" spans="4:18" x14ac:dyDescent="0.2">
      <c r="D30" t="s">
        <v>59</v>
      </c>
      <c r="E30">
        <v>242.3</v>
      </c>
      <c r="F30">
        <v>268</v>
      </c>
      <c r="G30">
        <v>294.10000000000002</v>
      </c>
      <c r="H30">
        <v>309.39999999999998</v>
      </c>
      <c r="I30">
        <v>334.6</v>
      </c>
      <c r="J30">
        <v>364.2</v>
      </c>
      <c r="K30">
        <v>389.2</v>
      </c>
      <c r="L30">
        <v>418.1</v>
      </c>
      <c r="M30">
        <v>431.8</v>
      </c>
      <c r="N30">
        <f>M30*(1+N31)</f>
        <v>447.64957011922633</v>
      </c>
      <c r="O30">
        <f t="shared" ref="O30:R30" si="12">N30*(1+O31)</f>
        <v>462.9561584225807</v>
      </c>
      <c r="P30">
        <f t="shared" si="12"/>
        <v>477.33045815773357</v>
      </c>
      <c r="Q30">
        <f t="shared" si="12"/>
        <v>490.99312998431998</v>
      </c>
      <c r="R30">
        <f t="shared" si="12"/>
        <v>503.92536202497831</v>
      </c>
    </row>
    <row r="31" spans="4:18" x14ac:dyDescent="0.2">
      <c r="D31" s="3" t="s">
        <v>63</v>
      </c>
      <c r="F31" s="20">
        <f>(F30-E30)/E30</f>
        <v>0.10606685926537346</v>
      </c>
      <c r="G31" s="20">
        <f t="shared" ref="G31:K31" si="13">(G30-F30)/F30</f>
        <v>9.7388059701492627E-2</v>
      </c>
      <c r="H31" s="20">
        <f>(H30-G30)/G30</f>
        <v>5.2023121387283079E-2</v>
      </c>
      <c r="I31" s="20">
        <f t="shared" si="13"/>
        <v>8.1447963800905132E-2</v>
      </c>
      <c r="J31" s="20">
        <f t="shared" si="13"/>
        <v>8.8463837417812205E-2</v>
      </c>
      <c r="K31" s="20">
        <f t="shared" si="13"/>
        <v>6.8643602416254806E-2</v>
      </c>
      <c r="L31" s="20">
        <f>(L30-K30)/K30</f>
        <v>7.4254881808838727E-2</v>
      </c>
      <c r="M31" s="20">
        <f>(M30-L30)/L30</f>
        <v>3.2767280554891143E-2</v>
      </c>
      <c r="N31" s="21">
        <f>(M31*0.8+0.15*L31+0.05*K31)*0.9</f>
        <v>3.6705813152446323E-2</v>
      </c>
      <c r="O31" s="21">
        <f t="shared" ref="O31:R31" si="14">(N31*0.8+0.15*M31+0.05*L31)*0.9</f>
        <v>3.4193238026069404E-2</v>
      </c>
      <c r="P31" s="21">
        <f t="shared" si="14"/>
        <v>3.1048943779320329E-2</v>
      </c>
      <c r="Q31" s="21">
        <f t="shared" si="14"/>
        <v>2.8623088246490094E-2</v>
      </c>
      <c r="R31" s="21">
        <f t="shared" si="14"/>
        <v>2.6338926658854237E-2</v>
      </c>
    </row>
    <row r="32" spans="4:18" x14ac:dyDescent="0.2">
      <c r="D32" s="15" t="s">
        <v>61</v>
      </c>
      <c r="E32" s="7">
        <f>E26/E30</f>
        <v>17.446553858852663</v>
      </c>
      <c r="F32" s="7">
        <f t="shared" ref="F32:J32" si="15">F26/F30</f>
        <v>17.389552238805969</v>
      </c>
      <c r="G32" s="7">
        <f t="shared" si="15"/>
        <v>17.688201292077526</v>
      </c>
      <c r="H32" s="7">
        <f>H26/H30</f>
        <v>18.150937297996123</v>
      </c>
      <c r="I32" s="7">
        <f>I26/I30</f>
        <v>18.15481171548117</v>
      </c>
      <c r="J32" s="7">
        <f t="shared" si="15"/>
        <v>18.538165842943439</v>
      </c>
      <c r="K32" s="7">
        <f>K26/K30</f>
        <v>19.180369989722507</v>
      </c>
      <c r="L32" s="7">
        <f>L26/L30</f>
        <v>19.523080602726619</v>
      </c>
      <c r="M32" s="7">
        <f>M26/M30</f>
        <v>19.777211672070401</v>
      </c>
      <c r="N32" s="7">
        <f>M32*(1+N33)</f>
        <v>19.787100277906436</v>
      </c>
      <c r="O32" s="7">
        <f t="shared" ref="O32:R32" si="16">N32*(1+O33)</f>
        <v>19.796993828045387</v>
      </c>
      <c r="P32" s="7">
        <f t="shared" si="16"/>
        <v>19.80689232495941</v>
      </c>
      <c r="Q32" s="7">
        <f t="shared" si="16"/>
        <v>19.816795771121889</v>
      </c>
      <c r="R32" s="7">
        <f t="shared" si="16"/>
        <v>19.826704169007449</v>
      </c>
    </row>
    <row r="33" spans="4:18" x14ac:dyDescent="0.2">
      <c r="D33" s="3" t="s">
        <v>71</v>
      </c>
      <c r="F33" s="20">
        <f>(F32-E32)/E32</f>
        <v>-3.2672137149750619E-3</v>
      </c>
      <c r="G33" s="20">
        <f t="shared" ref="G33:K33" si="17">(G32-F32)/F32</f>
        <v>1.7174050784648811E-2</v>
      </c>
      <c r="H33" s="20">
        <f t="shared" si="17"/>
        <v>2.6160715738001824E-2</v>
      </c>
      <c r="I33" s="20">
        <f>(I32-H32)/H32</f>
        <v>2.1345550488320353E-4</v>
      </c>
      <c r="J33" s="20">
        <f t="shared" si="17"/>
        <v>2.1115841544937147E-2</v>
      </c>
      <c r="K33" s="20">
        <f t="shared" si="17"/>
        <v>3.4642270018504756E-2</v>
      </c>
      <c r="L33" s="20">
        <f>(L32-K32)/K32</f>
        <v>1.7867779046376462E-2</v>
      </c>
      <c r="M33" s="20">
        <f>(M32-L32)/L32</f>
        <v>1.301695539321234E-2</v>
      </c>
      <c r="N33" s="23">
        <v>5.0000000000000001E-4</v>
      </c>
      <c r="O33" s="23">
        <v>5.0000000000000001E-4</v>
      </c>
      <c r="P33" s="23">
        <v>5.0000000000000001E-4</v>
      </c>
      <c r="Q33" s="23">
        <v>5.0000000000000001E-4</v>
      </c>
      <c r="R33" s="23">
        <v>5.0000000000000001E-4</v>
      </c>
    </row>
    <row r="35" spans="4:18" x14ac:dyDescent="0.2">
      <c r="D35" s="3" t="s">
        <v>69</v>
      </c>
      <c r="E35">
        <v>3093.7999999999997</v>
      </c>
      <c r="F35">
        <v>2919.9</v>
      </c>
      <c r="G35">
        <v>2913.9</v>
      </c>
      <c r="H35">
        <v>2727.6</v>
      </c>
      <c r="I35">
        <v>2540.3000000000002</v>
      </c>
      <c r="J35">
        <v>2069.1</v>
      </c>
      <c r="K35">
        <v>1987.6</v>
      </c>
      <c r="L35">
        <v>1799.1999999999998</v>
      </c>
      <c r="M35">
        <v>1668.9</v>
      </c>
      <c r="N35">
        <f>N39*N41</f>
        <v>1596.5576350886902</v>
      </c>
      <c r="O35">
        <f t="shared" ref="O35:R35" si="18">O39*O41</f>
        <v>1523.4328307271026</v>
      </c>
      <c r="P35">
        <f t="shared" si="18"/>
        <v>1463.5797670308195</v>
      </c>
      <c r="Q35">
        <f t="shared" si="18"/>
        <v>1411.8993540200117</v>
      </c>
      <c r="R35">
        <f t="shared" si="18"/>
        <v>1366.6028286465801</v>
      </c>
    </row>
    <row r="36" spans="4:18" x14ac:dyDescent="0.2">
      <c r="D36" s="3" t="s">
        <v>60</v>
      </c>
      <c r="F36" s="17">
        <f>(F35-E35)/E35</f>
        <v>-5.6209192578705686E-2</v>
      </c>
      <c r="G36" s="17">
        <f t="shared" ref="G36:M36" si="19">(G35-F35)/F35</f>
        <v>-2.0548648926333093E-3</v>
      </c>
      <c r="H36" s="17">
        <f t="shared" si="19"/>
        <v>-6.3934932564604197E-2</v>
      </c>
      <c r="I36" s="17">
        <f t="shared" si="19"/>
        <v>-6.8668426455491913E-2</v>
      </c>
      <c r="J36" s="17">
        <f t="shared" si="19"/>
        <v>-0.18548990276738977</v>
      </c>
      <c r="K36" s="17">
        <f t="shared" si="19"/>
        <v>-3.9389106374752313E-2</v>
      </c>
      <c r="L36" s="17">
        <f t="shared" si="19"/>
        <v>-9.478768363855912E-2</v>
      </c>
      <c r="M36" s="17">
        <f t="shared" si="19"/>
        <v>-7.242107603379265E-2</v>
      </c>
      <c r="N36" s="17">
        <f>(N35-M35)/M35</f>
        <v>-4.3347333519869323E-2</v>
      </c>
      <c r="O36" s="17">
        <f t="shared" ref="O36:R36" si="20">(O35-N35)/N35</f>
        <v>-4.580154374290752E-2</v>
      </c>
      <c r="P36" s="17">
        <f t="shared" si="20"/>
        <v>-3.9288285304785245E-2</v>
      </c>
      <c r="Q36" s="17">
        <f t="shared" si="20"/>
        <v>-3.5310964373094895E-2</v>
      </c>
      <c r="R36" s="17">
        <f t="shared" si="20"/>
        <v>-3.2081978962920935E-2</v>
      </c>
    </row>
    <row r="37" spans="4:18" x14ac:dyDescent="0.2">
      <c r="D37" s="16" t="s">
        <v>64</v>
      </c>
    </row>
    <row r="38" spans="4:18" x14ac:dyDescent="0.2">
      <c r="D38" s="16" t="s">
        <v>65</v>
      </c>
    </row>
    <row r="39" spans="4:18" x14ac:dyDescent="0.2">
      <c r="D39" t="s">
        <v>59</v>
      </c>
      <c r="E39">
        <v>68.2</v>
      </c>
      <c r="F39">
        <v>59</v>
      </c>
      <c r="G39">
        <v>58.5</v>
      </c>
      <c r="H39">
        <v>47.3</v>
      </c>
      <c r="I39">
        <v>45</v>
      </c>
      <c r="J39">
        <v>29.4</v>
      </c>
      <c r="K39">
        <v>27.1</v>
      </c>
      <c r="L39">
        <v>23.2</v>
      </c>
      <c r="M39">
        <v>22.1</v>
      </c>
      <c r="N39">
        <f>M39*(1+N40)</f>
        <v>20.932696959614741</v>
      </c>
      <c r="O39">
        <f t="shared" ref="O39:R39" si="21">N39*(1+O40)</f>
        <v>19.776185271447446</v>
      </c>
      <c r="P39">
        <f t="shared" si="21"/>
        <v>18.811101843824286</v>
      </c>
      <c r="Q39">
        <f t="shared" si="21"/>
        <v>17.96719177900826</v>
      </c>
      <c r="R39">
        <f t="shared" si="21"/>
        <v>17.218582881516191</v>
      </c>
    </row>
    <row r="40" spans="4:18" x14ac:dyDescent="0.2">
      <c r="D40" s="3" t="s">
        <v>63</v>
      </c>
      <c r="F40" s="20">
        <f t="shared" ref="F40:F42" si="22">(F39-E39)/E39</f>
        <v>-0.13489736070381236</v>
      </c>
      <c r="G40" s="20">
        <f t="shared" ref="G40" si="23">(G39-F39)/F39</f>
        <v>-8.4745762711864406E-3</v>
      </c>
      <c r="H40" s="20">
        <f t="shared" ref="H40" si="24">(H39-G39)/G39</f>
        <v>-0.19145299145299149</v>
      </c>
      <c r="I40" s="20">
        <f t="shared" ref="I40" si="25">(I39-H39)/H39</f>
        <v>-4.8625792811839263E-2</v>
      </c>
      <c r="J40" s="20">
        <f t="shared" ref="J40" si="26">(J39-I39)/I39</f>
        <v>-0.34666666666666668</v>
      </c>
      <c r="K40" s="20">
        <f t="shared" ref="K40" si="27">(K39-J39)/J39</f>
        <v>-7.8231292517006709E-2</v>
      </c>
      <c r="L40" s="20">
        <f t="shared" ref="L40" si="28">(L39-K39)/K39</f>
        <v>-0.14391143911439122</v>
      </c>
      <c r="M40" s="20">
        <f t="shared" ref="M40" si="29">(M39-L39)/L39</f>
        <v>-4.7413793103448183E-2</v>
      </c>
      <c r="N40" s="17">
        <f>(M40*0.7+L40*0.15+K40*0.05)*0.9</f>
        <v>-5.2819142098880466E-2</v>
      </c>
      <c r="O40" s="17">
        <f t="shared" ref="O40:R40" si="30">(N40*0.8+M40*0.1+L40*0.1)*0.9</f>
        <v>-5.5249053210799481E-2</v>
      </c>
      <c r="P40" s="17">
        <f t="shared" si="30"/>
        <v>-4.8800282479985205E-2</v>
      </c>
      <c r="Q40" s="17">
        <f t="shared" si="30"/>
        <v>-4.4862340963460555E-2</v>
      </c>
      <c r="R40" s="17">
        <f t="shared" si="30"/>
        <v>-4.1665325705862226E-2</v>
      </c>
    </row>
    <row r="41" spans="4:18" x14ac:dyDescent="0.2">
      <c r="D41" s="15" t="s">
        <v>61</v>
      </c>
      <c r="E41">
        <f t="shared" ref="E41:M41" si="31">E35/E39</f>
        <v>45.36363636363636</v>
      </c>
      <c r="F41">
        <f t="shared" si="31"/>
        <v>49.489830508474576</v>
      </c>
      <c r="G41">
        <f t="shared" si="31"/>
        <v>49.810256410256414</v>
      </c>
      <c r="H41">
        <f t="shared" si="31"/>
        <v>57.665961945031711</v>
      </c>
      <c r="I41">
        <f t="shared" si="31"/>
        <v>56.451111111111118</v>
      </c>
      <c r="J41">
        <f t="shared" si="31"/>
        <v>70.377551020408163</v>
      </c>
      <c r="K41">
        <f t="shared" si="31"/>
        <v>73.343173431734314</v>
      </c>
      <c r="L41">
        <f t="shared" si="31"/>
        <v>77.551724137931032</v>
      </c>
      <c r="M41">
        <f t="shared" si="31"/>
        <v>75.515837104072403</v>
      </c>
      <c r="N41">
        <f>M41*(1+N42)</f>
        <v>76.270995475113125</v>
      </c>
      <c r="O41">
        <f t="shared" ref="O41:R41" si="32">N41*(1+O42)</f>
        <v>77.033705429864256</v>
      </c>
      <c r="P41">
        <f t="shared" si="32"/>
        <v>77.804042484162892</v>
      </c>
      <c r="Q41">
        <f t="shared" si="32"/>
        <v>78.582082909004527</v>
      </c>
      <c r="R41">
        <f t="shared" si="32"/>
        <v>79.367903738094569</v>
      </c>
    </row>
    <row r="42" spans="4:18" x14ac:dyDescent="0.2">
      <c r="D42" s="3" t="s">
        <v>62</v>
      </c>
      <c r="F42" s="20">
        <f t="shared" si="22"/>
        <v>9.0958187561563889E-2</v>
      </c>
      <c r="G42" s="20">
        <f t="shared" ref="G42" si="33">(G41-F41)/F41</f>
        <v>6.4745807065750482E-3</v>
      </c>
      <c r="H42" s="20">
        <f>(H41-G41)/G41</f>
        <v>0.15771260983024635</v>
      </c>
      <c r="I42" s="20">
        <f t="shared" ref="I42" si="34">(I41-H41)/H41</f>
        <v>-2.106703491877257E-2</v>
      </c>
      <c r="J42" s="20">
        <f t="shared" ref="J42" si="35">(J41-I41)/I41</f>
        <v>0.24669912841726055</v>
      </c>
      <c r="K42" s="20">
        <f t="shared" ref="K42" si="36">(K41-J41)/J41</f>
        <v>4.2138755445840635E-2</v>
      </c>
      <c r="L42" s="20">
        <f t="shared" ref="L42" si="37">(L41-K41)/K41</f>
        <v>5.7381628163579723E-2</v>
      </c>
      <c r="M42" s="20">
        <f t="shared" ref="M42" si="38">(M41-L41)/L41</f>
        <v>-2.6251989320542565E-2</v>
      </c>
      <c r="N42" s="17">
        <f>0.01</f>
        <v>0.01</v>
      </c>
      <c r="O42" s="17">
        <f t="shared" ref="O42:R42" si="39">0.01</f>
        <v>0.01</v>
      </c>
      <c r="P42" s="17">
        <f t="shared" si="39"/>
        <v>0.01</v>
      </c>
      <c r="Q42" s="17">
        <f t="shared" si="39"/>
        <v>0.01</v>
      </c>
      <c r="R42" s="17">
        <f t="shared" si="39"/>
        <v>0.01</v>
      </c>
    </row>
    <row r="43" spans="4:18" x14ac:dyDescent="0.2">
      <c r="D43" s="16"/>
    </row>
    <row r="44" spans="4:18" x14ac:dyDescent="0.2">
      <c r="D44" s="15" t="s">
        <v>67</v>
      </c>
      <c r="E44">
        <v>1360.7</v>
      </c>
      <c r="F44">
        <v>1309</v>
      </c>
      <c r="G44">
        <v>1279.5</v>
      </c>
      <c r="H44">
        <v>1189</v>
      </c>
      <c r="I44">
        <v>1115.2</v>
      </c>
      <c r="J44">
        <v>947.9</v>
      </c>
      <c r="K44">
        <v>927.2</v>
      </c>
      <c r="L44">
        <v>836.1</v>
      </c>
      <c r="M44">
        <v>742.3</v>
      </c>
      <c r="N44" s="22">
        <f>N35*N45</f>
        <v>702.48535943902368</v>
      </c>
      <c r="O44" s="22">
        <f t="shared" ref="O44:R44" si="40">O35*O45</f>
        <v>670.31044551992511</v>
      </c>
      <c r="P44" s="22">
        <f t="shared" si="40"/>
        <v>643.97509749356061</v>
      </c>
      <c r="Q44" s="22">
        <f t="shared" si="40"/>
        <v>621.23571576880522</v>
      </c>
      <c r="R44" s="22">
        <f t="shared" si="40"/>
        <v>601.30524460449521</v>
      </c>
    </row>
    <row r="45" spans="4:18" x14ac:dyDescent="0.2">
      <c r="D45" s="3" t="s">
        <v>68</v>
      </c>
      <c r="E45" s="17">
        <f>E44/E35</f>
        <v>0.43981511409916613</v>
      </c>
      <c r="F45" s="17">
        <f t="shared" ref="F45:K45" si="41">F44/F35</f>
        <v>0.44830302407616696</v>
      </c>
      <c r="G45" s="17">
        <f t="shared" si="41"/>
        <v>0.43910223411922167</v>
      </c>
      <c r="H45" s="17">
        <f t="shared" si="41"/>
        <v>0.4359143569438334</v>
      </c>
      <c r="I45" s="17">
        <f t="shared" si="41"/>
        <v>0.43900326733063022</v>
      </c>
      <c r="J45" s="17">
        <f t="shared" si="41"/>
        <v>0.45812188874389831</v>
      </c>
      <c r="K45" s="17">
        <f t="shared" si="41"/>
        <v>0.46649225196216548</v>
      </c>
      <c r="L45" s="17">
        <f>L44/L35</f>
        <v>0.46470653623832819</v>
      </c>
      <c r="M45" s="17">
        <f>M44/M35</f>
        <v>0.44478398945413139</v>
      </c>
      <c r="N45" s="17">
        <v>0.44</v>
      </c>
      <c r="O45" s="17">
        <v>0.44</v>
      </c>
      <c r="P45" s="17">
        <v>0.44</v>
      </c>
      <c r="Q45" s="17">
        <v>0.44</v>
      </c>
      <c r="R45" s="17">
        <v>0.44</v>
      </c>
    </row>
    <row r="46" spans="4:18" x14ac:dyDescent="0.2">
      <c r="D46" t="s">
        <v>66</v>
      </c>
      <c r="E46">
        <v>2151.3000000000002</v>
      </c>
      <c r="F46">
        <v>2531.1999999999998</v>
      </c>
      <c r="G46">
        <v>2830.7</v>
      </c>
      <c r="H46">
        <v>3125.2</v>
      </c>
      <c r="I46">
        <v>3402.4</v>
      </c>
      <c r="J46">
        <v>3677</v>
      </c>
      <c r="K46">
        <v>3937.8</v>
      </c>
      <c r="L46">
        <v>4214.2</v>
      </c>
      <c r="M46">
        <v>4566.1000000000004</v>
      </c>
      <c r="N46" s="22">
        <f>N47*N26</f>
        <v>4605.997205321637</v>
      </c>
      <c r="O46" s="22">
        <f t="shared" ref="O46:R46" si="42">O47*O26</f>
        <v>4765.8729096926654</v>
      </c>
      <c r="P46" s="22">
        <f t="shared" si="42"/>
        <v>4916.3051538399623</v>
      </c>
      <c r="Q46" s="22">
        <f t="shared" si="42"/>
        <v>5059.5535026000498</v>
      </c>
      <c r="R46" s="22">
        <f t="shared" si="42"/>
        <v>5195.4131195871969</v>
      </c>
    </row>
    <row r="47" spans="4:18" x14ac:dyDescent="0.2">
      <c r="D47" s="3" t="s">
        <v>68</v>
      </c>
      <c r="E47" s="17">
        <f>E46/E26</f>
        <v>0.50890639415229577</v>
      </c>
      <c r="F47" s="17">
        <f>F46/F26</f>
        <v>0.54312934512059052</v>
      </c>
      <c r="G47" s="17">
        <f t="shared" ref="G47:K47" si="43">G46/G26</f>
        <v>0.54414563349416578</v>
      </c>
      <c r="H47" s="17">
        <f t="shared" si="43"/>
        <v>0.55649139051621288</v>
      </c>
      <c r="I47" s="17">
        <f t="shared" si="43"/>
        <v>0.56010272281302476</v>
      </c>
      <c r="J47" s="17">
        <f t="shared" si="43"/>
        <v>0.54461164760945546</v>
      </c>
      <c r="K47" s="17">
        <f t="shared" si="43"/>
        <v>0.5275016744809109</v>
      </c>
      <c r="L47" s="17">
        <f>L46/L26</f>
        <v>0.51628157694852128</v>
      </c>
      <c r="M47" s="17">
        <f>M46/M26</f>
        <v>0.53468465303637092</v>
      </c>
      <c r="N47" s="17">
        <v>0.52</v>
      </c>
      <c r="O47" s="17">
        <v>0.52</v>
      </c>
      <c r="P47" s="17">
        <v>0.52</v>
      </c>
      <c r="Q47" s="17">
        <v>0.52</v>
      </c>
      <c r="R47" s="17">
        <v>0.52</v>
      </c>
    </row>
    <row r="48" spans="4:18" x14ac:dyDescent="0.2">
      <c r="D48" s="3"/>
    </row>
    <row r="49" spans="4:9" x14ac:dyDescent="0.2">
      <c r="D49" s="16"/>
      <c r="E49">
        <v>2026</v>
      </c>
      <c r="F49">
        <v>2027</v>
      </c>
      <c r="G49">
        <v>2028</v>
      </c>
      <c r="H49">
        <v>2029</v>
      </c>
      <c r="I49">
        <v>2030</v>
      </c>
    </row>
    <row r="50" spans="4:9" x14ac:dyDescent="0.2">
      <c r="D50" s="3" t="s">
        <v>73</v>
      </c>
      <c r="E50" s="22">
        <f>N26+N35</f>
        <v>10454.24456839953</v>
      </c>
      <c r="F50" s="22">
        <f t="shared" ref="F50:I50" si="44">O26+O35</f>
        <v>10688.573041674535</v>
      </c>
      <c r="G50" s="22">
        <f t="shared" si="44"/>
        <v>10918.012755184593</v>
      </c>
      <c r="H50" s="22">
        <f t="shared" si="44"/>
        <v>11141.809935943184</v>
      </c>
      <c r="I50" s="22">
        <f t="shared" si="44"/>
        <v>11357.781904775806</v>
      </c>
    </row>
    <row r="51" spans="4:9" x14ac:dyDescent="0.2">
      <c r="D51" s="16" t="s">
        <v>75</v>
      </c>
      <c r="E51" s="20"/>
      <c r="F51" s="20">
        <f>(F50-E50)/E50</f>
        <v>2.2414672982045924E-2</v>
      </c>
      <c r="G51" s="20">
        <f t="shared" ref="G51:I51" si="45">(G50-F50)/F50</f>
        <v>2.1465888160699862E-2</v>
      </c>
      <c r="H51" s="20">
        <f t="shared" si="45"/>
        <v>2.0497977587754443E-2</v>
      </c>
      <c r="I51" s="20">
        <f t="shared" si="45"/>
        <v>1.9383921470056888E-2</v>
      </c>
    </row>
    <row r="52" spans="4:9" x14ac:dyDescent="0.2">
      <c r="D52" s="16"/>
      <c r="E52" s="20"/>
      <c r="F52" s="20"/>
      <c r="G52" s="20"/>
      <c r="H52" s="20"/>
      <c r="I52" s="20"/>
    </row>
    <row r="53" spans="4:9" x14ac:dyDescent="0.2">
      <c r="D53" s="16"/>
      <c r="E53" s="20"/>
      <c r="F53" s="20"/>
      <c r="G53" s="20"/>
      <c r="H53" s="20"/>
      <c r="I53" s="20"/>
    </row>
    <row r="54" spans="4:9" x14ac:dyDescent="0.2">
      <c r="D54" s="3" t="s">
        <v>72</v>
      </c>
      <c r="E54" s="22">
        <f>N44+N46</f>
        <v>5308.4825647606604</v>
      </c>
      <c r="F54" s="22">
        <f t="shared" ref="F54:I54" si="46">O44+O46</f>
        <v>5436.1833552125909</v>
      </c>
      <c r="G54" s="22">
        <f t="shared" si="46"/>
        <v>5560.2802513335228</v>
      </c>
      <c r="H54" s="22">
        <f t="shared" si="46"/>
        <v>5680.7892183688546</v>
      </c>
      <c r="I54" s="22">
        <f t="shared" si="46"/>
        <v>5796.7183641916918</v>
      </c>
    </row>
    <row r="55" spans="4:9" x14ac:dyDescent="0.2">
      <c r="D55" s="3" t="s">
        <v>74</v>
      </c>
      <c r="E55" s="17">
        <f>E54/E50</f>
        <v>0.50778251168973287</v>
      </c>
      <c r="F55" s="17">
        <f t="shared" ref="F55:I55" si="47">F54/F50</f>
        <v>0.50859767099097508</v>
      </c>
      <c r="G55" s="17">
        <f t="shared" si="47"/>
        <v>0.50927585230133887</v>
      </c>
      <c r="H55" s="17">
        <f t="shared" si="47"/>
        <v>0.50986233395014025</v>
      </c>
      <c r="I55" s="17">
        <f t="shared" si="47"/>
        <v>0.5103741569253275</v>
      </c>
    </row>
    <row r="56" spans="4:9" x14ac:dyDescent="0.2">
      <c r="D56" s="3"/>
    </row>
    <row r="57" spans="4:9" x14ac:dyDescent="0.2">
      <c r="D57" s="16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FF647-97A5-0E42-8C97-BDE9D530469C}">
  <dimension ref="E5:F9"/>
  <sheetViews>
    <sheetView workbookViewId="0">
      <selection activeCell="F10" sqref="F10"/>
    </sheetView>
    <sheetView workbookViewId="1"/>
  </sheetViews>
  <sheetFormatPr baseColWidth="10" defaultRowHeight="16" x14ac:dyDescent="0.2"/>
  <sheetData>
    <row r="5" spans="5:6" x14ac:dyDescent="0.2">
      <c r="E5" t="s">
        <v>381</v>
      </c>
      <c r="F5">
        <v>0.9</v>
      </c>
    </row>
    <row r="7" spans="5:6" x14ac:dyDescent="0.2">
      <c r="E7" t="s">
        <v>382</v>
      </c>
      <c r="F7">
        <v>-0.5</v>
      </c>
    </row>
    <row r="9" spans="5:6" x14ac:dyDescent="0.2">
      <c r="E9" t="s">
        <v>366</v>
      </c>
      <c r="F9" s="20">
        <f>-F7/(F5-F7)</f>
        <v>0.35714285714285715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623B9-50D4-46A0-A4DC-1B19623DD1A0}">
  <dimension ref="D2:S109"/>
  <sheetViews>
    <sheetView topLeftCell="M101" zoomScaleNormal="100" workbookViewId="0">
      <pane xSplit="6020" ySplit="1200" topLeftCell="D58" activePane="bottomRight"/>
      <selection activeCell="B1" sqref="B1"/>
      <selection pane="topRight" activeCell="E101" sqref="E1:E1048576"/>
      <selection pane="bottomLeft" activeCell="D66" activeCellId="2" sqref="D78:N78 E66 D66"/>
      <selection pane="bottomRight" activeCell="D68" sqref="D68"/>
    </sheetView>
    <sheetView tabSelected="1" workbookViewId="1"/>
  </sheetViews>
  <sheetFormatPr baseColWidth="10" defaultColWidth="8.83203125" defaultRowHeight="16" x14ac:dyDescent="0.2"/>
  <cols>
    <col min="4" max="4" width="23.33203125" customWidth="1"/>
    <col min="5" max="10" width="11.1640625" bestFit="1" customWidth="1"/>
    <col min="11" max="11" width="10.83203125" customWidth="1"/>
    <col min="12" max="12" width="12" customWidth="1"/>
    <col min="13" max="13" width="14.5" customWidth="1"/>
  </cols>
  <sheetData>
    <row r="2" spans="4:19" x14ac:dyDescent="0.2">
      <c r="K2" t="s">
        <v>81</v>
      </c>
    </row>
    <row r="3" spans="4:19" x14ac:dyDescent="0.2">
      <c r="E3">
        <v>2017</v>
      </c>
      <c r="F3">
        <v>2018</v>
      </c>
      <c r="G3">
        <v>2019</v>
      </c>
      <c r="H3">
        <v>2020</v>
      </c>
      <c r="I3">
        <v>2021</v>
      </c>
      <c r="J3">
        <v>2022</v>
      </c>
      <c r="K3">
        <v>2023</v>
      </c>
      <c r="L3">
        <v>2024</v>
      </c>
      <c r="M3">
        <v>2025</v>
      </c>
      <c r="S3" t="s">
        <v>82</v>
      </c>
    </row>
    <row r="4" spans="4:19" x14ac:dyDescent="0.2">
      <c r="D4" t="s">
        <v>80</v>
      </c>
      <c r="E4" s="11">
        <v>113496</v>
      </c>
      <c r="F4" s="11">
        <v>110726</v>
      </c>
      <c r="G4" s="11">
        <v>108133</v>
      </c>
      <c r="H4" s="11">
        <v>106846</v>
      </c>
      <c r="I4" s="11">
        <v>106965</v>
      </c>
      <c r="J4" s="11">
        <v>102674</v>
      </c>
      <c r="K4" s="11">
        <v>90140</v>
      </c>
      <c r="L4" s="11">
        <v>86272</v>
      </c>
      <c r="M4" s="11">
        <v>84000</v>
      </c>
      <c r="R4" t="s">
        <v>83</v>
      </c>
      <c r="S4">
        <v>1</v>
      </c>
    </row>
    <row r="5" spans="4:19" x14ac:dyDescent="0.2">
      <c r="D5" t="s">
        <v>55</v>
      </c>
      <c r="E5" s="20">
        <v>-3.3000000000000002E-2</v>
      </c>
      <c r="F5" s="20">
        <f>(F4-E4)/E4</f>
        <v>-2.4406146472122366E-2</v>
      </c>
      <c r="G5" s="20">
        <f t="shared" ref="G5:M5" si="0">(G4-F4)/F4</f>
        <v>-2.3418167368097827E-2</v>
      </c>
      <c r="H5" s="20">
        <f t="shared" si="0"/>
        <v>-1.1902009562298281E-2</v>
      </c>
      <c r="I5" s="20">
        <f t="shared" si="0"/>
        <v>1.113752503603317E-3</v>
      </c>
      <c r="J5" s="20">
        <f t="shared" si="0"/>
        <v>-4.0115925770111721E-2</v>
      </c>
      <c r="K5" s="20">
        <f t="shared" si="0"/>
        <v>-0.12207569589185188</v>
      </c>
      <c r="L5" s="20">
        <f t="shared" si="0"/>
        <v>-4.2911027290880852E-2</v>
      </c>
      <c r="M5" s="20">
        <f t="shared" si="0"/>
        <v>-2.6335311572700297E-2</v>
      </c>
      <c r="R5" t="s">
        <v>84</v>
      </c>
      <c r="S5">
        <f>S4*3381.4</f>
        <v>3381.4</v>
      </c>
    </row>
    <row r="6" spans="4:19" x14ac:dyDescent="0.2">
      <c r="D6" t="s">
        <v>76</v>
      </c>
      <c r="R6" t="s">
        <v>85</v>
      </c>
      <c r="S6">
        <v>1</v>
      </c>
    </row>
    <row r="7" spans="4:19" x14ac:dyDescent="0.2">
      <c r="D7" t="s">
        <v>78</v>
      </c>
      <c r="F7" s="20"/>
      <c r="G7" s="20"/>
      <c r="H7" s="20"/>
      <c r="I7" s="20"/>
      <c r="J7" s="20"/>
      <c r="K7" s="20"/>
      <c r="L7" s="20"/>
      <c r="M7" s="20"/>
      <c r="R7" t="s">
        <v>84</v>
      </c>
      <c r="S7">
        <f>S6*288</f>
        <v>288</v>
      </c>
    </row>
    <row r="9" spans="4:19" x14ac:dyDescent="0.2">
      <c r="D9" t="s">
        <v>79</v>
      </c>
      <c r="E9" s="11">
        <v>242.3</v>
      </c>
      <c r="F9" s="11">
        <v>268</v>
      </c>
      <c r="G9" s="11">
        <v>294.10000000000002</v>
      </c>
      <c r="H9" s="11">
        <v>309.39999999999998</v>
      </c>
      <c r="I9" s="11">
        <v>334.6</v>
      </c>
      <c r="J9" s="11">
        <v>364.2</v>
      </c>
      <c r="K9" s="11">
        <v>389.2</v>
      </c>
      <c r="L9" s="11">
        <v>418.1</v>
      </c>
      <c r="M9" s="11">
        <v>431.8</v>
      </c>
    </row>
    <row r="10" spans="4:19" x14ac:dyDescent="0.2">
      <c r="D10" t="s">
        <v>89</v>
      </c>
      <c r="E10" s="11">
        <f>((E9*288)/3381.4)*1000</f>
        <v>20637.132548648493</v>
      </c>
      <c r="F10" s="11">
        <f t="shared" ref="F10:M10" si="1">((F9*288)/3381.4)*1000</f>
        <v>22826.048382326844</v>
      </c>
      <c r="G10" s="11">
        <f t="shared" si="1"/>
        <v>25049.03294493405</v>
      </c>
      <c r="H10" s="11">
        <f t="shared" si="1"/>
        <v>26352.161826462408</v>
      </c>
      <c r="I10" s="11">
        <f t="shared" si="1"/>
        <v>28498.491748979712</v>
      </c>
      <c r="J10" s="11">
        <f t="shared" si="1"/>
        <v>31019.577689714319</v>
      </c>
      <c r="K10" s="11">
        <f t="shared" si="1"/>
        <v>33148.873247767195</v>
      </c>
      <c r="L10" s="11">
        <f t="shared" si="1"/>
        <v>35610.338912876323</v>
      </c>
      <c r="M10" s="11">
        <f t="shared" si="1"/>
        <v>36777.192878689297</v>
      </c>
    </row>
    <row r="11" spans="4:19" x14ac:dyDescent="0.2">
      <c r="D11" t="s">
        <v>55</v>
      </c>
      <c r="E11" s="20">
        <v>0.13</v>
      </c>
      <c r="F11" s="20">
        <f>(F9-E9)/E9</f>
        <v>0.10606685926537346</v>
      </c>
      <c r="G11" s="20">
        <f t="shared" ref="G11:M11" si="2">(G9-F9)/F9</f>
        <v>9.7388059701492627E-2</v>
      </c>
      <c r="H11" s="20">
        <f t="shared" si="2"/>
        <v>5.2023121387283079E-2</v>
      </c>
      <c r="I11" s="20">
        <f t="shared" si="2"/>
        <v>8.1447963800905132E-2</v>
      </c>
      <c r="J11" s="20">
        <f t="shared" si="2"/>
        <v>8.8463837417812205E-2</v>
      </c>
      <c r="K11" s="20">
        <f t="shared" si="2"/>
        <v>6.8643602416254806E-2</v>
      </c>
      <c r="L11" s="20">
        <f t="shared" si="2"/>
        <v>7.4254881808838727E-2</v>
      </c>
      <c r="M11" s="20">
        <f t="shared" si="2"/>
        <v>3.2767280554891143E-2</v>
      </c>
      <c r="R11" t="s">
        <v>86</v>
      </c>
    </row>
    <row r="12" spans="4:19" x14ac:dyDescent="0.2">
      <c r="D12" t="s">
        <v>76</v>
      </c>
      <c r="R12" t="s">
        <v>87</v>
      </c>
      <c r="S12">
        <v>1</v>
      </c>
    </row>
    <row r="13" spans="4:19" x14ac:dyDescent="0.2">
      <c r="D13" t="s">
        <v>78</v>
      </c>
      <c r="R13" t="s">
        <v>83</v>
      </c>
      <c r="S13">
        <f>S12/0.9</f>
        <v>1.1111111111111112</v>
      </c>
    </row>
    <row r="15" spans="4:19" x14ac:dyDescent="0.2">
      <c r="R15" t="s">
        <v>100</v>
      </c>
      <c r="S15">
        <v>1</v>
      </c>
    </row>
    <row r="16" spans="4:19" x14ac:dyDescent="0.2">
      <c r="D16" t="s">
        <v>91</v>
      </c>
      <c r="E16" s="11">
        <v>47.3</v>
      </c>
      <c r="F16" s="11">
        <v>48.2</v>
      </c>
      <c r="G16" s="11">
        <f>F16*1.02</f>
        <v>49.164000000000001</v>
      </c>
      <c r="H16" s="11">
        <v>48.4</v>
      </c>
      <c r="I16" s="11">
        <v>53.2</v>
      </c>
      <c r="J16" s="11">
        <v>54.8</v>
      </c>
      <c r="K16" s="11">
        <f>J16-(J16*0.04)</f>
        <v>52.607999999999997</v>
      </c>
      <c r="L16" s="11">
        <v>50.1</v>
      </c>
      <c r="M16" s="11">
        <v>49.5</v>
      </c>
      <c r="R16" t="s">
        <v>101</v>
      </c>
      <c r="S16">
        <v>1.1735</v>
      </c>
    </row>
    <row r="17" spans="4:13" x14ac:dyDescent="0.2">
      <c r="D17" t="s">
        <v>88</v>
      </c>
      <c r="E17" s="11">
        <f>E16*0.105</f>
        <v>4.9664999999999999</v>
      </c>
      <c r="F17" s="11">
        <f t="shared" ref="F17:M17" si="3">F16*0.105</f>
        <v>5.0609999999999999</v>
      </c>
      <c r="G17" s="11">
        <f t="shared" si="3"/>
        <v>5.1622199999999996</v>
      </c>
      <c r="H17" s="11">
        <f>H16*0.105</f>
        <v>5.0819999999999999</v>
      </c>
      <c r="I17" s="11">
        <f t="shared" si="3"/>
        <v>5.5860000000000003</v>
      </c>
      <c r="J17" s="11">
        <f>J16*0.105</f>
        <v>5.7539999999999996</v>
      </c>
      <c r="K17" s="11">
        <f>K16*0.105</f>
        <v>5.5238399999999999</v>
      </c>
      <c r="L17" s="11">
        <f t="shared" si="3"/>
        <v>5.2605000000000004</v>
      </c>
      <c r="M17" s="11">
        <f t="shared" si="3"/>
        <v>5.1974999999999998</v>
      </c>
    </row>
    <row r="18" spans="4:13" x14ac:dyDescent="0.2">
      <c r="D18" t="s">
        <v>90</v>
      </c>
      <c r="E18" s="11">
        <f>(E17/0.9)*1000</f>
        <v>5518.3333333333339</v>
      </c>
      <c r="F18" s="11">
        <f t="shared" ref="F18:M18" si="4">(F17/0.9)*1000</f>
        <v>5623.333333333333</v>
      </c>
      <c r="G18" s="11">
        <f t="shared" si="4"/>
        <v>5735.7999999999993</v>
      </c>
      <c r="H18" s="11">
        <f t="shared" si="4"/>
        <v>5646.6666666666661</v>
      </c>
      <c r="I18" s="11">
        <f t="shared" si="4"/>
        <v>6206.666666666667</v>
      </c>
      <c r="J18" s="11">
        <f t="shared" si="4"/>
        <v>6393.333333333333</v>
      </c>
      <c r="K18" s="11">
        <f t="shared" si="4"/>
        <v>6137.6</v>
      </c>
      <c r="L18" s="11">
        <f t="shared" si="4"/>
        <v>5845.0000000000009</v>
      </c>
      <c r="M18" s="11">
        <f t="shared" si="4"/>
        <v>5774.9999999999991</v>
      </c>
    </row>
    <row r="19" spans="4:13" x14ac:dyDescent="0.2">
      <c r="D19" t="s">
        <v>55</v>
      </c>
      <c r="E19" s="17">
        <v>8.0000000000000002E-3</v>
      </c>
      <c r="F19" s="17">
        <f>(F18-E18)/E18</f>
        <v>1.9027484143763047E-2</v>
      </c>
      <c r="G19" s="17">
        <f t="shared" ref="G19:L19" si="5">(G18-F18)/F18</f>
        <v>1.9999999999999924E-2</v>
      </c>
      <c r="H19" s="17">
        <f t="shared" si="5"/>
        <v>-1.553982588886175E-2</v>
      </c>
      <c r="I19" s="17">
        <f t="shared" si="5"/>
        <v>9.9173553719008434E-2</v>
      </c>
      <c r="J19" s="17">
        <f t="shared" si="5"/>
        <v>3.0075187969924713E-2</v>
      </c>
      <c r="K19" s="17">
        <f t="shared" si="5"/>
        <v>-3.9999999999999897E-2</v>
      </c>
      <c r="L19" s="17">
        <f t="shared" si="5"/>
        <v>-4.7673357664233487E-2</v>
      </c>
      <c r="M19" s="17">
        <f>(M18-L18)/L18</f>
        <v>-1.1976047904191926E-2</v>
      </c>
    </row>
    <row r="20" spans="4:13" x14ac:dyDescent="0.2">
      <c r="D20" t="s">
        <v>76</v>
      </c>
    </row>
    <row r="21" spans="4:13" x14ac:dyDescent="0.2">
      <c r="D21" t="s">
        <v>78</v>
      </c>
    </row>
    <row r="23" spans="4:13" x14ac:dyDescent="0.2">
      <c r="D23" t="s">
        <v>110</v>
      </c>
    </row>
    <row r="24" spans="4:13" x14ac:dyDescent="0.2">
      <c r="D24" t="s">
        <v>111</v>
      </c>
      <c r="E24" s="11">
        <v>7505.7</v>
      </c>
      <c r="F24" s="11">
        <v>7259.9</v>
      </c>
      <c r="G24" s="11">
        <v>7244.9</v>
      </c>
      <c r="H24" s="11">
        <v>7016.1</v>
      </c>
      <c r="I24" s="11">
        <v>7168.7</v>
      </c>
      <c r="J24" s="11">
        <v>7405.6</v>
      </c>
      <c r="K24" s="11">
        <v>8059.6</v>
      </c>
      <c r="L24" s="11">
        <v>7823</v>
      </c>
      <c r="M24" s="11">
        <v>7823</v>
      </c>
    </row>
    <row r="25" spans="4:13" x14ac:dyDescent="0.2">
      <c r="D25" t="s">
        <v>112</v>
      </c>
      <c r="E25" s="11">
        <v>1458</v>
      </c>
      <c r="F25" s="11">
        <v>1392.1</v>
      </c>
      <c r="G25" s="11">
        <v>1231.3</v>
      </c>
      <c r="H25" s="11">
        <v>1111.5999999999999</v>
      </c>
      <c r="I25" s="11">
        <v>1188.4000000000001</v>
      </c>
      <c r="J25" s="11">
        <v>1165.3</v>
      </c>
      <c r="K25" s="11">
        <v>1224</v>
      </c>
      <c r="L25" s="11">
        <v>1278</v>
      </c>
      <c r="M25" s="11">
        <v>1278</v>
      </c>
    </row>
    <row r="26" spans="4:13" x14ac:dyDescent="0.2">
      <c r="D26" s="26" t="s">
        <v>113</v>
      </c>
      <c r="E26" s="4">
        <f>SUM(E24:E25)</f>
        <v>8963.7000000000007</v>
      </c>
      <c r="F26" s="4">
        <f t="shared" ref="F26:M26" si="6">SUM(F24:F25)</f>
        <v>8652</v>
      </c>
      <c r="G26" s="4">
        <f t="shared" si="6"/>
        <v>8476.1999999999989</v>
      </c>
      <c r="H26" s="4">
        <f t="shared" si="6"/>
        <v>8127.7000000000007</v>
      </c>
      <c r="I26" s="4">
        <f t="shared" si="6"/>
        <v>8357.1</v>
      </c>
      <c r="J26" s="4">
        <f t="shared" si="6"/>
        <v>8570.9</v>
      </c>
      <c r="K26" s="4">
        <f t="shared" si="6"/>
        <v>9283.6</v>
      </c>
      <c r="L26" s="4">
        <f t="shared" si="6"/>
        <v>9101</v>
      </c>
      <c r="M26" s="4">
        <f t="shared" si="6"/>
        <v>9101</v>
      </c>
    </row>
    <row r="28" spans="4:13" x14ac:dyDescent="0.2">
      <c r="D28" t="s">
        <v>97</v>
      </c>
      <c r="E28" s="11">
        <v>99.563000000000002</v>
      </c>
      <c r="F28" s="11">
        <v>96.626999999999995</v>
      </c>
      <c r="G28" s="11">
        <v>64.64</v>
      </c>
      <c r="H28" s="11">
        <v>61.313000000000002</v>
      </c>
      <c r="I28" s="11">
        <v>59.334000000000003</v>
      </c>
      <c r="J28" s="11">
        <v>60.323</v>
      </c>
      <c r="K28" s="11">
        <v>62.491</v>
      </c>
      <c r="L28" s="11">
        <v>58.905000000000001</v>
      </c>
      <c r="M28" s="11">
        <v>56</v>
      </c>
    </row>
    <row r="29" spans="4:13" x14ac:dyDescent="0.2">
      <c r="D29" t="s">
        <v>98</v>
      </c>
      <c r="E29" s="11">
        <f>E28*1000</f>
        <v>99563</v>
      </c>
      <c r="F29" s="11">
        <f t="shared" ref="F29:L29" si="7">F28*1000</f>
        <v>96627</v>
      </c>
      <c r="G29" s="11">
        <f t="shared" si="7"/>
        <v>64640</v>
      </c>
      <c r="H29" s="11">
        <f t="shared" si="7"/>
        <v>61313</v>
      </c>
      <c r="I29" s="11">
        <f t="shared" si="7"/>
        <v>59334</v>
      </c>
      <c r="J29" s="11">
        <f t="shared" si="7"/>
        <v>60323</v>
      </c>
      <c r="K29" s="11">
        <f t="shared" si="7"/>
        <v>62491</v>
      </c>
      <c r="L29" s="11">
        <f t="shared" si="7"/>
        <v>58905</v>
      </c>
      <c r="M29" s="11">
        <f>M28*1000</f>
        <v>56000</v>
      </c>
    </row>
    <row r="30" spans="4:13" x14ac:dyDescent="0.2">
      <c r="D30" t="s">
        <v>114</v>
      </c>
      <c r="E30" s="17">
        <f>E24/E26</f>
        <v>0.83734395394758854</v>
      </c>
      <c r="F30" s="17">
        <f>F24/F26</f>
        <v>0.83910078594544613</v>
      </c>
      <c r="G30" s="17">
        <f>G24/G26</f>
        <v>0.85473443288265971</v>
      </c>
      <c r="H30" s="17">
        <f t="shared" ref="H30:L30" si="8">H24/H26</f>
        <v>0.86323314098699511</v>
      </c>
      <c r="I30" s="17">
        <f t="shared" si="8"/>
        <v>0.85779756135501539</v>
      </c>
      <c r="J30" s="17">
        <f t="shared" si="8"/>
        <v>0.86403994913019644</v>
      </c>
      <c r="K30" s="17">
        <f t="shared" si="8"/>
        <v>0.86815459520013794</v>
      </c>
      <c r="L30" s="17">
        <f t="shared" si="8"/>
        <v>0.85957587078343034</v>
      </c>
      <c r="M30" s="17">
        <f>M24/M26</f>
        <v>0.85957587078343034</v>
      </c>
    </row>
    <row r="31" spans="4:13" x14ac:dyDescent="0.2">
      <c r="D31" t="s">
        <v>115</v>
      </c>
      <c r="E31" s="11">
        <f>E30*E29</f>
        <v>83368.476086883762</v>
      </c>
      <c r="F31" s="11">
        <f t="shared" ref="F31:L31" si="9">F30*F29</f>
        <v>81079.791643550619</v>
      </c>
      <c r="G31" s="11">
        <f t="shared" si="9"/>
        <v>55250.033741535124</v>
      </c>
      <c r="H31" s="11">
        <f t="shared" si="9"/>
        <v>52927.413573335631</v>
      </c>
      <c r="I31" s="11">
        <f t="shared" si="9"/>
        <v>50896.560505438487</v>
      </c>
      <c r="J31" s="11">
        <f t="shared" si="9"/>
        <v>52121.481851380842</v>
      </c>
      <c r="K31" s="11">
        <f t="shared" si="9"/>
        <v>54251.848808651819</v>
      </c>
      <c r="L31" s="11">
        <f t="shared" si="9"/>
        <v>50633.316668497966</v>
      </c>
      <c r="M31" s="27">
        <f>M30*M29</f>
        <v>48136.2487638721</v>
      </c>
    </row>
    <row r="32" spans="4:13" x14ac:dyDescent="0.2">
      <c r="D32" t="s">
        <v>55</v>
      </c>
      <c r="E32" s="17">
        <v>-2.3E-2</v>
      </c>
      <c r="F32" s="20">
        <f t="shared" ref="F32:M32" si="10">(F28-E28)/E28</f>
        <v>-2.9488866345931793E-2</v>
      </c>
      <c r="G32" s="20">
        <f t="shared" si="10"/>
        <v>-0.33103583884421534</v>
      </c>
      <c r="H32" s="20">
        <f t="shared" si="10"/>
        <v>-5.1469678217821752E-2</v>
      </c>
      <c r="I32" s="20">
        <f t="shared" si="10"/>
        <v>-3.2277004876616687E-2</v>
      </c>
      <c r="J32" s="20">
        <f t="shared" si="10"/>
        <v>1.6668352040988255E-2</v>
      </c>
      <c r="K32" s="20">
        <f t="shared" si="10"/>
        <v>3.5939857102597672E-2</v>
      </c>
      <c r="L32" s="20">
        <f t="shared" si="10"/>
        <v>-5.7384263333920063E-2</v>
      </c>
      <c r="M32" s="20">
        <f t="shared" si="10"/>
        <v>-4.9316696375519921E-2</v>
      </c>
    </row>
    <row r="33" spans="4:13" x14ac:dyDescent="0.2">
      <c r="D33" t="s">
        <v>76</v>
      </c>
    </row>
    <row r="34" spans="4:13" x14ac:dyDescent="0.2">
      <c r="D34" t="s">
        <v>78</v>
      </c>
    </row>
    <row r="36" spans="4:13" x14ac:dyDescent="0.2">
      <c r="D36" t="s">
        <v>117</v>
      </c>
      <c r="E36">
        <v>5</v>
      </c>
      <c r="F36">
        <v>4.5</v>
      </c>
      <c r="G36">
        <v>4.5999999999999996</v>
      </c>
      <c r="H36">
        <v>4.55</v>
      </c>
      <c r="I36">
        <v>4.0999999999999996</v>
      </c>
      <c r="J36">
        <v>4.125</v>
      </c>
      <c r="K36">
        <v>4.1500000000000004</v>
      </c>
      <c r="L36">
        <v>4.05</v>
      </c>
      <c r="M36">
        <v>4</v>
      </c>
    </row>
    <row r="37" spans="4:13" x14ac:dyDescent="0.2">
      <c r="D37" t="s">
        <v>118</v>
      </c>
      <c r="E37" s="11">
        <f>(E36*1.1735)*1000</f>
        <v>5867.5</v>
      </c>
      <c r="F37" s="11">
        <f t="shared" ref="F37:M37" si="11">(F36*1.1735)*1000</f>
        <v>5280.75</v>
      </c>
      <c r="G37" s="11">
        <f t="shared" si="11"/>
        <v>5398.0999999999995</v>
      </c>
      <c r="H37" s="11">
        <f t="shared" si="11"/>
        <v>5339.4249999999993</v>
      </c>
      <c r="I37" s="11">
        <f t="shared" si="11"/>
        <v>4811.3499999999995</v>
      </c>
      <c r="J37" s="11">
        <f t="shared" si="11"/>
        <v>4840.6875</v>
      </c>
      <c r="K37" s="11">
        <f t="shared" si="11"/>
        <v>4870.0249999999996</v>
      </c>
      <c r="L37" s="11">
        <f t="shared" si="11"/>
        <v>4752.6750000000002</v>
      </c>
      <c r="M37" s="11">
        <f t="shared" si="11"/>
        <v>4694</v>
      </c>
    </row>
    <row r="38" spans="4:13" x14ac:dyDescent="0.2">
      <c r="F38" s="17">
        <f>(F37-E37)/E37</f>
        <v>-0.1</v>
      </c>
      <c r="G38" s="17">
        <f t="shared" ref="G38:M38" si="12">(G37-F37)/F37</f>
        <v>2.2222222222222119E-2</v>
      </c>
      <c r="H38" s="17">
        <f t="shared" si="12"/>
        <v>-1.0869565217391339E-2</v>
      </c>
      <c r="I38" s="17">
        <f t="shared" si="12"/>
        <v>-9.8901098901098883E-2</v>
      </c>
      <c r="J38" s="17">
        <f t="shared" si="12"/>
        <v>6.0975609756098699E-3</v>
      </c>
      <c r="K38" s="17">
        <f t="shared" si="12"/>
        <v>6.0606060606059851E-3</v>
      </c>
      <c r="L38" s="17">
        <f t="shared" si="12"/>
        <v>-2.4096385542168565E-2</v>
      </c>
      <c r="M38" s="17">
        <f t="shared" si="12"/>
        <v>-1.2345679012345716E-2</v>
      </c>
    </row>
    <row r="41" spans="4:13" x14ac:dyDescent="0.2">
      <c r="D41" t="s">
        <v>119</v>
      </c>
      <c r="E41">
        <v>1.04</v>
      </c>
      <c r="F41">
        <v>1.0900000000000001</v>
      </c>
      <c r="G41">
        <v>1.1299999999999999</v>
      </c>
      <c r="H41">
        <v>1.1599999999999999</v>
      </c>
      <c r="I41">
        <v>1.18</v>
      </c>
      <c r="J41">
        <v>1.1100000000000001</v>
      </c>
      <c r="K41">
        <v>1.1299999999999999</v>
      </c>
      <c r="L41">
        <v>1.18</v>
      </c>
      <c r="M41">
        <v>1.19</v>
      </c>
    </row>
    <row r="42" spans="4:13" x14ac:dyDescent="0.2">
      <c r="D42" t="s">
        <v>118</v>
      </c>
      <c r="E42" s="11">
        <f>(E41*1.1735)*1000</f>
        <v>1220.44</v>
      </c>
      <c r="F42" s="11">
        <f t="shared" ref="F42:M42" si="13">(F41*1.1735)*1000</f>
        <v>1279.115</v>
      </c>
      <c r="G42" s="11">
        <f t="shared" si="13"/>
        <v>1326.0549999999998</v>
      </c>
      <c r="H42" s="11">
        <f t="shared" si="13"/>
        <v>1361.26</v>
      </c>
      <c r="I42" s="11">
        <f t="shared" si="13"/>
        <v>1384.73</v>
      </c>
      <c r="J42" s="11">
        <f t="shared" si="13"/>
        <v>1302.585</v>
      </c>
      <c r="K42" s="11">
        <f t="shared" si="13"/>
        <v>1326.0549999999998</v>
      </c>
      <c r="L42" s="11">
        <f t="shared" si="13"/>
        <v>1384.73</v>
      </c>
      <c r="M42" s="11">
        <f t="shared" si="13"/>
        <v>1396.4649999999999</v>
      </c>
    </row>
    <row r="43" spans="4:13" x14ac:dyDescent="0.2">
      <c r="F43" s="17">
        <f>(F42-E42)/E42</f>
        <v>4.8076923076923038E-2</v>
      </c>
      <c r="G43" s="17">
        <f t="shared" ref="G43:M43" si="14">(G42-F42)/F42</f>
        <v>3.6697247706421882E-2</v>
      </c>
      <c r="H43" s="17">
        <f t="shared" si="14"/>
        <v>2.6548672566371802E-2</v>
      </c>
      <c r="I43" s="17">
        <f t="shared" si="14"/>
        <v>1.7241379310344848E-2</v>
      </c>
      <c r="J43" s="17">
        <f t="shared" si="14"/>
        <v>-5.9322033898305072E-2</v>
      </c>
      <c r="K43" s="17">
        <f t="shared" si="14"/>
        <v>1.8018018018017865E-2</v>
      </c>
      <c r="L43" s="17">
        <f t="shared" si="14"/>
        <v>4.4247787610619614E-2</v>
      </c>
      <c r="M43" s="17">
        <f t="shared" si="14"/>
        <v>8.4745762711863678E-3</v>
      </c>
    </row>
    <row r="47" spans="4:13" x14ac:dyDescent="0.2">
      <c r="D47" t="s">
        <v>99</v>
      </c>
      <c r="E47">
        <v>3768</v>
      </c>
      <c r="F47">
        <v>4286</v>
      </c>
      <c r="G47">
        <v>5307</v>
      </c>
      <c r="H47">
        <v>7368</v>
      </c>
      <c r="I47">
        <v>8504</v>
      </c>
      <c r="J47">
        <v>8183</v>
      </c>
      <c r="K47">
        <v>7678</v>
      </c>
      <c r="L47">
        <v>7493</v>
      </c>
      <c r="M47">
        <v>7300</v>
      </c>
    </row>
    <row r="48" spans="4:13" x14ac:dyDescent="0.2">
      <c r="D48" t="s">
        <v>102</v>
      </c>
      <c r="E48">
        <f>E47*1.1735</f>
        <v>4421.7479999999996</v>
      </c>
      <c r="F48">
        <f t="shared" ref="F48:M48" si="15">F47*1.1735</f>
        <v>5029.6210000000001</v>
      </c>
      <c r="G48">
        <f t="shared" si="15"/>
        <v>6227.7645000000002</v>
      </c>
      <c r="H48">
        <f t="shared" si="15"/>
        <v>8646.348</v>
      </c>
      <c r="I48">
        <f t="shared" si="15"/>
        <v>9979.4439999999995</v>
      </c>
      <c r="J48">
        <f t="shared" si="15"/>
        <v>9602.7505000000001</v>
      </c>
      <c r="K48">
        <f t="shared" si="15"/>
        <v>9010.1329999999998</v>
      </c>
      <c r="L48">
        <f t="shared" si="15"/>
        <v>8793.0355</v>
      </c>
      <c r="M48">
        <f t="shared" si="15"/>
        <v>8566.5499999999993</v>
      </c>
    </row>
    <row r="49" spans="4:13" x14ac:dyDescent="0.2">
      <c r="D49" t="s">
        <v>103</v>
      </c>
      <c r="E49">
        <f>E48*0.95</f>
        <v>4200.6605999999992</v>
      </c>
      <c r="F49">
        <f t="shared" ref="F49:M49" si="16">F48*0.95</f>
        <v>4778.1399499999998</v>
      </c>
      <c r="G49">
        <f t="shared" si="16"/>
        <v>5916.3762749999996</v>
      </c>
      <c r="H49">
        <f t="shared" si="16"/>
        <v>8214.0306</v>
      </c>
      <c r="I49">
        <f t="shared" si="16"/>
        <v>9480.4717999999993</v>
      </c>
      <c r="J49">
        <f t="shared" si="16"/>
        <v>9122.612975</v>
      </c>
      <c r="K49">
        <f t="shared" si="16"/>
        <v>8559.6263499999986</v>
      </c>
      <c r="L49">
        <f t="shared" si="16"/>
        <v>8353.3837249999997</v>
      </c>
      <c r="M49">
        <f t="shared" si="16"/>
        <v>8138.2224999999989</v>
      </c>
    </row>
    <row r="50" spans="4:13" x14ac:dyDescent="0.2">
      <c r="D50" t="s">
        <v>55</v>
      </c>
      <c r="E50" s="17">
        <v>-6.2E-2</v>
      </c>
      <c r="F50" s="20">
        <f t="shared" ref="F50" si="17">(F47-E47)/E47</f>
        <v>0.13747346072186836</v>
      </c>
      <c r="G50" s="20">
        <f t="shared" ref="G50" si="18">(G47-F47)/F47</f>
        <v>0.23821745216985535</v>
      </c>
      <c r="H50" s="20">
        <f t="shared" ref="H50" si="19">(H47-G47)/G47</f>
        <v>0.38835500282645563</v>
      </c>
      <c r="I50" s="20">
        <f t="shared" ref="I50" si="20">(I47-H47)/H47</f>
        <v>0.15418023887079263</v>
      </c>
      <c r="J50" s="20">
        <f t="shared" ref="J50" si="21">(J47-I47)/I47</f>
        <v>-3.7746942615239885E-2</v>
      </c>
      <c r="K50" s="20">
        <f t="shared" ref="K50" si="22">(K47-J47)/J47</f>
        <v>-6.1713308077722108E-2</v>
      </c>
      <c r="L50" s="20">
        <f t="shared" ref="L50:M50" si="23">(L47-K47)/K47</f>
        <v>-2.4094816358426675E-2</v>
      </c>
      <c r="M50" s="20">
        <f t="shared" si="23"/>
        <v>-2.5757373548645403E-2</v>
      </c>
    </row>
    <row r="51" spans="4:13" x14ac:dyDescent="0.2">
      <c r="D51" t="s">
        <v>76</v>
      </c>
    </row>
    <row r="52" spans="4:13" x14ac:dyDescent="0.2">
      <c r="D52" t="s">
        <v>78</v>
      </c>
    </row>
    <row r="54" spans="4:13" x14ac:dyDescent="0.2">
      <c r="D54" t="s">
        <v>104</v>
      </c>
      <c r="E54" s="18"/>
    </row>
    <row r="55" spans="4:13" x14ac:dyDescent="0.2">
      <c r="D55" t="s">
        <v>105</v>
      </c>
      <c r="E55">
        <v>72.099999999999994</v>
      </c>
      <c r="F55">
        <v>83.3</v>
      </c>
      <c r="G55">
        <v>85.6</v>
      </c>
      <c r="H55">
        <v>79.099999999999994</v>
      </c>
      <c r="I55">
        <v>85.4</v>
      </c>
      <c r="J55">
        <v>88.5</v>
      </c>
      <c r="K55">
        <v>88.4</v>
      </c>
      <c r="L55">
        <v>89.3</v>
      </c>
      <c r="M55">
        <v>90</v>
      </c>
    </row>
    <row r="56" spans="4:13" x14ac:dyDescent="0.2">
      <c r="D56" t="s">
        <v>108</v>
      </c>
      <c r="E56" s="17">
        <v>0.2</v>
      </c>
      <c r="F56" s="17">
        <v>0.17</v>
      </c>
      <c r="G56" s="17">
        <v>0.16</v>
      </c>
      <c r="H56" s="17">
        <v>0.16</v>
      </c>
      <c r="I56" s="20">
        <v>0.1525</v>
      </c>
      <c r="J56" s="25">
        <v>0.14499999999999999</v>
      </c>
      <c r="K56" s="25">
        <v>0.14499999999999999</v>
      </c>
      <c r="L56" s="25">
        <v>0.14499999999999999</v>
      </c>
      <c r="M56" s="25">
        <v>0.14499999999999999</v>
      </c>
    </row>
    <row r="57" spans="4:13" x14ac:dyDescent="0.2">
      <c r="D57" t="s">
        <v>106</v>
      </c>
      <c r="E57" s="17">
        <v>0.35</v>
      </c>
      <c r="F57" s="17">
        <v>0.38</v>
      </c>
      <c r="G57" s="17">
        <v>0.43</v>
      </c>
      <c r="H57" s="17">
        <v>0.43</v>
      </c>
      <c r="I57" s="20">
        <v>0.4375</v>
      </c>
      <c r="J57" s="25">
        <v>0.4375</v>
      </c>
      <c r="K57" s="25">
        <v>0.4375</v>
      </c>
      <c r="L57" s="25">
        <v>0.4375</v>
      </c>
      <c r="M57" s="25">
        <v>0.4375</v>
      </c>
    </row>
    <row r="58" spans="4:13" x14ac:dyDescent="0.2">
      <c r="D58" t="s">
        <v>107</v>
      </c>
      <c r="E58" s="17">
        <v>0.45</v>
      </c>
      <c r="F58" s="17">
        <v>0.45</v>
      </c>
      <c r="G58" s="17">
        <v>0.41</v>
      </c>
      <c r="H58" s="17">
        <v>0.41</v>
      </c>
      <c r="I58" s="17">
        <v>0.41</v>
      </c>
      <c r="J58" s="25">
        <v>0.41499999999999998</v>
      </c>
      <c r="K58" s="25">
        <v>0.41499999999999998</v>
      </c>
      <c r="L58" s="25">
        <v>0.41499999999999998</v>
      </c>
      <c r="M58" s="25">
        <v>0.41499999999999998</v>
      </c>
    </row>
    <row r="59" spans="4:13" x14ac:dyDescent="0.2">
      <c r="D59" t="s">
        <v>109</v>
      </c>
      <c r="E59" s="11">
        <f>E55*E56</f>
        <v>14.42</v>
      </c>
      <c r="F59" s="11">
        <f t="shared" ref="F59:L59" si="24">F55*F56</f>
        <v>14.161000000000001</v>
      </c>
      <c r="G59" s="11">
        <f t="shared" si="24"/>
        <v>13.696</v>
      </c>
      <c r="H59" s="11">
        <f t="shared" si="24"/>
        <v>12.655999999999999</v>
      </c>
      <c r="I59" s="11">
        <f t="shared" si="24"/>
        <v>13.0235</v>
      </c>
      <c r="J59" s="11">
        <f t="shared" si="24"/>
        <v>12.8325</v>
      </c>
      <c r="K59" s="11">
        <f t="shared" si="24"/>
        <v>12.818</v>
      </c>
      <c r="L59" s="11">
        <f t="shared" si="24"/>
        <v>12.948499999999999</v>
      </c>
      <c r="M59" s="11">
        <f t="shared" ref="M59" si="25">M55*M56</f>
        <v>13.049999999999999</v>
      </c>
    </row>
    <row r="60" spans="4:13" x14ac:dyDescent="0.2">
      <c r="D60" t="s">
        <v>116</v>
      </c>
      <c r="E60" s="11">
        <f>E59*1000</f>
        <v>14420</v>
      </c>
      <c r="F60" s="11">
        <f t="shared" ref="F60:M60" si="26">F59*1000</f>
        <v>14161.000000000002</v>
      </c>
      <c r="G60" s="11">
        <f t="shared" si="26"/>
        <v>13696</v>
      </c>
      <c r="H60" s="11">
        <f t="shared" si="26"/>
        <v>12655.999999999998</v>
      </c>
      <c r="I60" s="11">
        <f t="shared" si="26"/>
        <v>13023.5</v>
      </c>
      <c r="J60" s="11">
        <f t="shared" si="26"/>
        <v>12832.5</v>
      </c>
      <c r="K60" s="11">
        <f t="shared" si="26"/>
        <v>12818</v>
      </c>
      <c r="L60" s="11">
        <f t="shared" si="26"/>
        <v>12948.5</v>
      </c>
      <c r="M60" s="11">
        <f t="shared" si="26"/>
        <v>13049.999999999998</v>
      </c>
    </row>
    <row r="61" spans="4:13" x14ac:dyDescent="0.2">
      <c r="D61" t="s">
        <v>55</v>
      </c>
      <c r="E61" s="17">
        <v>-0.02</v>
      </c>
      <c r="F61" s="20">
        <f>(F59-E59)/E59</f>
        <v>-1.796116504854359E-2</v>
      </c>
      <c r="G61" s="20">
        <f>(G59-F59)/F59</f>
        <v>-3.2836664077395779E-2</v>
      </c>
      <c r="H61" s="20">
        <f>(H59-G59)/G59</f>
        <v>-7.59345794392524E-2</v>
      </c>
      <c r="I61" s="20">
        <f>(I59-H59)/H59</f>
        <v>2.9037610619469148E-2</v>
      </c>
      <c r="J61" s="20">
        <f>(J59-I59)/I59</f>
        <v>-1.4665796444888142E-2</v>
      </c>
      <c r="K61" s="20">
        <f t="shared" ref="K61:M61" si="27">(K59-J59)/J59</f>
        <v>-1.1299435028248555E-3</v>
      </c>
      <c r="L61" s="20">
        <f t="shared" si="27"/>
        <v>1.0180995475113093E-2</v>
      </c>
      <c r="M61" s="20">
        <f t="shared" si="27"/>
        <v>7.8387458006718702E-3</v>
      </c>
    </row>
    <row r="62" spans="4:13" x14ac:dyDescent="0.2">
      <c r="D62" t="s">
        <v>76</v>
      </c>
    </row>
    <row r="63" spans="4:13" x14ac:dyDescent="0.2">
      <c r="D63" t="s">
        <v>78</v>
      </c>
    </row>
    <row r="64" spans="4:13" x14ac:dyDescent="0.2">
      <c r="D64" t="s">
        <v>127</v>
      </c>
      <c r="E64">
        <v>2017</v>
      </c>
      <c r="F64">
        <v>2018</v>
      </c>
      <c r="G64">
        <v>2019</v>
      </c>
      <c r="H64">
        <v>2020</v>
      </c>
      <c r="I64">
        <v>2021</v>
      </c>
      <c r="J64">
        <v>2022</v>
      </c>
      <c r="K64">
        <v>2023</v>
      </c>
      <c r="L64">
        <v>2024</v>
      </c>
      <c r="M64">
        <v>2025</v>
      </c>
    </row>
    <row r="66" spans="4:13" x14ac:dyDescent="0.2">
      <c r="D66" t="s">
        <v>123</v>
      </c>
      <c r="E66">
        <v>252.3</v>
      </c>
      <c r="F66">
        <v>250</v>
      </c>
      <c r="G66">
        <v>247.6</v>
      </c>
      <c r="H66">
        <v>245.3</v>
      </c>
      <c r="I66">
        <v>246.4</v>
      </c>
      <c r="J66">
        <v>241.7</v>
      </c>
      <c r="K66">
        <v>237</v>
      </c>
      <c r="L66">
        <v>232.3</v>
      </c>
      <c r="M66">
        <v>228</v>
      </c>
    </row>
    <row r="67" spans="4:13" x14ac:dyDescent="0.2">
      <c r="D67" t="s">
        <v>346</v>
      </c>
      <c r="E67">
        <f>E66*1000</f>
        <v>252300</v>
      </c>
      <c r="F67">
        <f t="shared" ref="F67:M67" si="28">F66*1000</f>
        <v>250000</v>
      </c>
      <c r="G67">
        <f t="shared" si="28"/>
        <v>247600</v>
      </c>
      <c r="H67">
        <f t="shared" si="28"/>
        <v>245300</v>
      </c>
      <c r="I67">
        <f t="shared" si="28"/>
        <v>246400</v>
      </c>
      <c r="J67">
        <f t="shared" si="28"/>
        <v>241700</v>
      </c>
      <c r="K67">
        <f t="shared" si="28"/>
        <v>237000</v>
      </c>
      <c r="L67">
        <f t="shared" si="28"/>
        <v>232300</v>
      </c>
      <c r="M67">
        <f t="shared" si="28"/>
        <v>228000</v>
      </c>
    </row>
    <row r="68" spans="4:13" x14ac:dyDescent="0.2">
      <c r="F68" s="20">
        <f>(F67-E67)/E67</f>
        <v>-9.116131589377725E-3</v>
      </c>
      <c r="G68" s="20">
        <f t="shared" ref="G68:M68" si="29">(G67-F67)/F67</f>
        <v>-9.5999999999999992E-3</v>
      </c>
      <c r="H68" s="20">
        <f t="shared" si="29"/>
        <v>-9.289176090468497E-3</v>
      </c>
      <c r="I68" s="20">
        <f t="shared" si="29"/>
        <v>4.4843049327354259E-3</v>
      </c>
      <c r="J68" s="20">
        <f t="shared" si="29"/>
        <v>-1.9074675324675324E-2</v>
      </c>
      <c r="K68" s="20">
        <f t="shared" si="29"/>
        <v>-1.9445593711212246E-2</v>
      </c>
      <c r="L68" s="20">
        <f t="shared" si="29"/>
        <v>-1.9831223628691982E-2</v>
      </c>
      <c r="M68" s="20">
        <f t="shared" si="29"/>
        <v>-1.8510546706844596E-2</v>
      </c>
    </row>
    <row r="69" spans="4:13" x14ac:dyDescent="0.2">
      <c r="F69" s="20"/>
      <c r="G69" s="20"/>
      <c r="H69" s="20"/>
      <c r="I69" s="20"/>
      <c r="J69" s="20"/>
      <c r="K69" s="20"/>
      <c r="L69" s="20"/>
    </row>
    <row r="70" spans="4:13" x14ac:dyDescent="0.2">
      <c r="D70" t="s">
        <v>126</v>
      </c>
      <c r="E70" s="18">
        <f t="shared" ref="E70:M70" si="30">SUM(E4,E10,E18,E31,E49,E60)</f>
        <v>241640.60256886558</v>
      </c>
      <c r="F70" s="18">
        <f t="shared" si="30"/>
        <v>239194.31330921082</v>
      </c>
      <c r="G70" s="18">
        <f t="shared" si="30"/>
        <v>213780.24296146914</v>
      </c>
      <c r="H70" s="18">
        <f t="shared" si="30"/>
        <v>212642.27266646468</v>
      </c>
      <c r="I70" s="18">
        <f t="shared" si="30"/>
        <v>215070.69072108486</v>
      </c>
      <c r="J70" s="18">
        <f t="shared" si="30"/>
        <v>214163.5058494285</v>
      </c>
      <c r="K70" s="18">
        <f t="shared" si="30"/>
        <v>205055.94840641902</v>
      </c>
      <c r="L70" s="18">
        <f t="shared" si="30"/>
        <v>199662.5393063743</v>
      </c>
      <c r="M70" s="18">
        <f t="shared" si="30"/>
        <v>195876.66414256141</v>
      </c>
    </row>
    <row r="71" spans="4:13" x14ac:dyDescent="0.2">
      <c r="D71" t="s">
        <v>77</v>
      </c>
      <c r="E71" s="17">
        <f>E70/E67</f>
        <v>0.95775110015404508</v>
      </c>
      <c r="F71" s="17">
        <f t="shared" ref="F71:L71" si="31">F70/F67</f>
        <v>0.95677725323684326</v>
      </c>
      <c r="G71" s="17">
        <f t="shared" si="31"/>
        <v>0.86340970501401104</v>
      </c>
      <c r="H71" s="17">
        <f t="shared" si="31"/>
        <v>0.86686617475118088</v>
      </c>
      <c r="I71" s="17">
        <f t="shared" si="31"/>
        <v>0.87285182922518201</v>
      </c>
      <c r="J71" s="17">
        <f t="shared" si="31"/>
        <v>0.88607160053549239</v>
      </c>
      <c r="K71" s="17">
        <f t="shared" si="31"/>
        <v>0.86521497217898324</v>
      </c>
      <c r="L71" s="17">
        <f t="shared" si="31"/>
        <v>0.85950296731112485</v>
      </c>
      <c r="M71" s="20">
        <f t="shared" ref="M71" si="32">(M70-L70)/L70</f>
        <v>-1.89613694034193E-2</v>
      </c>
    </row>
    <row r="72" spans="4:13" x14ac:dyDescent="0.2">
      <c r="D72" t="s">
        <v>125</v>
      </c>
      <c r="F72" s="17">
        <f>(F71-E71)/E71</f>
        <v>-1.016805845532499E-3</v>
      </c>
      <c r="G72" s="17">
        <f t="shared" ref="G72:L72" si="33">(G71-F71)/F71</f>
        <v>-9.7585459841319791E-2</v>
      </c>
      <c r="H72" s="17">
        <f t="shared" si="33"/>
        <v>4.0032787645278472E-3</v>
      </c>
      <c r="I72" s="17">
        <f t="shared" si="33"/>
        <v>6.9049348657757963E-3</v>
      </c>
      <c r="J72" s="17">
        <f t="shared" si="33"/>
        <v>1.5145493046678244E-2</v>
      </c>
      <c r="K72" s="17">
        <f t="shared" si="33"/>
        <v>-2.3538310384741547E-2</v>
      </c>
      <c r="L72" s="17">
        <f t="shared" si="33"/>
        <v>-6.6018331299481621E-3</v>
      </c>
    </row>
    <row r="73" spans="4:13" x14ac:dyDescent="0.2">
      <c r="F73" s="20"/>
      <c r="G73" s="20"/>
      <c r="H73" s="20"/>
      <c r="I73" s="20"/>
      <c r="J73" s="20"/>
      <c r="K73" s="20"/>
      <c r="L73" s="20"/>
    </row>
    <row r="74" spans="4:13" x14ac:dyDescent="0.2">
      <c r="D74" t="s">
        <v>92</v>
      </c>
      <c r="E74" s="18">
        <f t="shared" ref="E74:M74" si="34">E4</f>
        <v>113496</v>
      </c>
      <c r="F74" s="18">
        <f t="shared" si="34"/>
        <v>110726</v>
      </c>
      <c r="G74" s="18">
        <f t="shared" si="34"/>
        <v>108133</v>
      </c>
      <c r="H74" s="18">
        <f t="shared" si="34"/>
        <v>106846</v>
      </c>
      <c r="I74" s="18">
        <f t="shared" si="34"/>
        <v>106965</v>
      </c>
      <c r="J74" s="18">
        <f t="shared" si="34"/>
        <v>102674</v>
      </c>
      <c r="K74" s="18">
        <f t="shared" si="34"/>
        <v>90140</v>
      </c>
      <c r="L74" s="18">
        <f t="shared" si="34"/>
        <v>86272</v>
      </c>
      <c r="M74" s="18">
        <f t="shared" si="34"/>
        <v>84000</v>
      </c>
    </row>
    <row r="75" spans="4:13" x14ac:dyDescent="0.2">
      <c r="D75" t="s">
        <v>122</v>
      </c>
      <c r="E75" s="17">
        <f t="shared" ref="E75:L75" si="35">E74/E67</f>
        <v>0.44984542211652795</v>
      </c>
      <c r="F75" s="17">
        <f t="shared" si="35"/>
        <v>0.44290400000000002</v>
      </c>
      <c r="G75" s="17">
        <f t="shared" si="35"/>
        <v>0.43672455573505653</v>
      </c>
      <c r="H75" s="17">
        <f t="shared" si="35"/>
        <v>0.43557276803913575</v>
      </c>
      <c r="I75" s="17">
        <f t="shared" si="35"/>
        <v>0.43411120129870129</v>
      </c>
      <c r="J75" s="17">
        <f t="shared" si="35"/>
        <v>0.42479933802234177</v>
      </c>
      <c r="K75" s="17">
        <f t="shared" si="35"/>
        <v>0.38033755274261605</v>
      </c>
      <c r="L75" s="17">
        <f t="shared" si="35"/>
        <v>0.37138183383555745</v>
      </c>
      <c r="M75" s="17">
        <f>M74/M70</f>
        <v>0.42884128320086046</v>
      </c>
    </row>
    <row r="76" spans="4:13" x14ac:dyDescent="0.2">
      <c r="D76" t="s">
        <v>125</v>
      </c>
      <c r="E76" s="17"/>
      <c r="F76" s="25">
        <f>(F75-E75)/E75</f>
        <v>-1.543068301966586E-2</v>
      </c>
      <c r="G76" s="25">
        <f t="shared" ref="G76:L76" si="36">(G75-F75)/F75</f>
        <v>-1.3952107601068154E-2</v>
      </c>
      <c r="H76" s="25">
        <f t="shared" si="36"/>
        <v>-2.6373321142480585E-3</v>
      </c>
      <c r="I76" s="25">
        <f t="shared" si="36"/>
        <v>-3.3555053200735015E-3</v>
      </c>
      <c r="J76" s="25">
        <f t="shared" si="36"/>
        <v>-2.1450410052774142E-2</v>
      </c>
      <c r="K76" s="25">
        <f t="shared" si="36"/>
        <v>-0.10466538268801942</v>
      </c>
      <c r="L76" s="25">
        <f t="shared" si="36"/>
        <v>-2.3546764821088164E-2</v>
      </c>
    </row>
    <row r="77" spans="4:13" x14ac:dyDescent="0.2">
      <c r="E77">
        <v>2017</v>
      </c>
      <c r="F77">
        <v>2018</v>
      </c>
      <c r="G77">
        <v>2019</v>
      </c>
      <c r="H77">
        <v>2020</v>
      </c>
      <c r="I77">
        <v>2021</v>
      </c>
      <c r="J77">
        <v>2022</v>
      </c>
      <c r="K77">
        <v>2023</v>
      </c>
      <c r="L77">
        <v>2024</v>
      </c>
      <c r="M77">
        <v>2025</v>
      </c>
    </row>
    <row r="78" spans="4:13" x14ac:dyDescent="0.2">
      <c r="D78" t="s">
        <v>128</v>
      </c>
      <c r="E78" s="18">
        <f>E10</f>
        <v>20637.132548648493</v>
      </c>
      <c r="F78" s="18">
        <f t="shared" ref="F78:L78" si="37">F10</f>
        <v>22826.048382326844</v>
      </c>
      <c r="G78" s="18">
        <f t="shared" si="37"/>
        <v>25049.03294493405</v>
      </c>
      <c r="H78" s="18">
        <f t="shared" si="37"/>
        <v>26352.161826462408</v>
      </c>
      <c r="I78" s="18">
        <f t="shared" si="37"/>
        <v>28498.491748979712</v>
      </c>
      <c r="J78" s="18">
        <f t="shared" si="37"/>
        <v>31019.577689714319</v>
      </c>
      <c r="K78" s="18">
        <f t="shared" si="37"/>
        <v>33148.873247767195</v>
      </c>
      <c r="L78" s="18">
        <f t="shared" si="37"/>
        <v>35610.338912876323</v>
      </c>
      <c r="M78" s="18">
        <f>M10</f>
        <v>36777.192878689297</v>
      </c>
    </row>
    <row r="79" spans="4:13" x14ac:dyDescent="0.2">
      <c r="D79" t="s">
        <v>75</v>
      </c>
      <c r="E79" s="21">
        <f>E11</f>
        <v>0.13</v>
      </c>
      <c r="F79" s="21">
        <f>F11</f>
        <v>0.10606685926537346</v>
      </c>
      <c r="G79" s="21">
        <f t="shared" ref="G79:L79" si="38">G11</f>
        <v>9.7388059701492627E-2</v>
      </c>
      <c r="H79" s="21">
        <f t="shared" si="38"/>
        <v>5.2023121387283079E-2</v>
      </c>
      <c r="I79" s="21">
        <f t="shared" si="38"/>
        <v>8.1447963800905132E-2</v>
      </c>
      <c r="J79" s="21">
        <f t="shared" si="38"/>
        <v>8.8463837417812205E-2</v>
      </c>
      <c r="K79" s="21">
        <f t="shared" si="38"/>
        <v>6.8643602416254806E-2</v>
      </c>
      <c r="L79" s="21">
        <f t="shared" si="38"/>
        <v>7.4254881808838727E-2</v>
      </c>
      <c r="M79" s="21">
        <f>M11</f>
        <v>3.2767280554891143E-2</v>
      </c>
    </row>
    <row r="80" spans="4:13" x14ac:dyDescent="0.2">
      <c r="D80" t="s">
        <v>122</v>
      </c>
      <c r="E80" s="20">
        <f>E78/E67</f>
        <v>8.1796006930830334E-2</v>
      </c>
      <c r="F80" s="20">
        <f t="shared" ref="F80:M80" si="39">F78/F67</f>
        <v>9.1304193529307381E-2</v>
      </c>
      <c r="G80" s="20">
        <f t="shared" si="39"/>
        <v>0.10116733822671264</v>
      </c>
      <c r="H80" s="20">
        <f t="shared" si="39"/>
        <v>0.10742829933331598</v>
      </c>
      <c r="I80" s="20">
        <f t="shared" si="39"/>
        <v>0.11565946326696312</v>
      </c>
      <c r="J80" s="20">
        <f t="shared" si="39"/>
        <v>0.1283391712441635</v>
      </c>
      <c r="K80" s="20">
        <f t="shared" si="39"/>
        <v>0.13986866349268859</v>
      </c>
      <c r="L80" s="20">
        <f t="shared" si="39"/>
        <v>0.15329461434729369</v>
      </c>
      <c r="M80" s="20">
        <f t="shared" si="39"/>
        <v>0.16130347753811095</v>
      </c>
    </row>
    <row r="81" spans="4:13" x14ac:dyDescent="0.2">
      <c r="D81" t="s">
        <v>125</v>
      </c>
      <c r="F81" s="25">
        <f>(F80-E80)/E80</f>
        <v>0.11624267437061463</v>
      </c>
      <c r="G81" s="25">
        <f t="shared" ref="G81:L81" si="40">(G80-F80)/F80</f>
        <v>0.10802510066790448</v>
      </c>
      <c r="H81" s="25">
        <f t="shared" si="40"/>
        <v>6.1887178375423173E-2</v>
      </c>
      <c r="I81" s="25">
        <f t="shared" si="40"/>
        <v>7.6620071105365367E-2</v>
      </c>
      <c r="J81" s="25">
        <f t="shared" si="40"/>
        <v>0.10962966296958596</v>
      </c>
      <c r="K81" s="25">
        <f t="shared" si="40"/>
        <v>8.983611267514259E-2</v>
      </c>
      <c r="L81" s="25">
        <f t="shared" si="40"/>
        <v>9.5989698616852234E-2</v>
      </c>
      <c r="M81" s="25">
        <f>(M80-L80)/L80</f>
        <v>5.2244909091671864E-2</v>
      </c>
    </row>
    <row r="82" spans="4:13" x14ac:dyDescent="0.2">
      <c r="F82" s="25"/>
      <c r="G82" s="25"/>
      <c r="H82" s="25"/>
      <c r="I82" s="25"/>
      <c r="J82" s="25"/>
      <c r="K82" s="25"/>
      <c r="L82" s="25"/>
    </row>
    <row r="83" spans="4:13" x14ac:dyDescent="0.2">
      <c r="D83" t="s">
        <v>93</v>
      </c>
      <c r="E83" s="18">
        <f>E31</f>
        <v>83368.476086883762</v>
      </c>
      <c r="F83" s="18">
        <f t="shared" ref="F83:M83" si="41">F31</f>
        <v>81079.791643550619</v>
      </c>
      <c r="G83" s="18">
        <f t="shared" si="41"/>
        <v>55250.033741535124</v>
      </c>
      <c r="H83" s="18">
        <f t="shared" si="41"/>
        <v>52927.413573335631</v>
      </c>
      <c r="I83" s="18">
        <f t="shared" si="41"/>
        <v>50896.560505438487</v>
      </c>
      <c r="J83" s="18">
        <f t="shared" si="41"/>
        <v>52121.481851380842</v>
      </c>
      <c r="K83" s="18">
        <f t="shared" si="41"/>
        <v>54251.848808651819</v>
      </c>
      <c r="L83" s="18">
        <f t="shared" si="41"/>
        <v>50633.316668497966</v>
      </c>
      <c r="M83" s="18">
        <f t="shared" si="41"/>
        <v>48136.2487638721</v>
      </c>
    </row>
    <row r="84" spans="4:13" x14ac:dyDescent="0.2">
      <c r="D84" t="s">
        <v>122</v>
      </c>
      <c r="E84" s="17">
        <f>E83/E67</f>
        <v>0.33043391235387937</v>
      </c>
      <c r="F84" s="17">
        <f t="shared" ref="F84:L84" si="42">F83/F67</f>
        <v>0.32431916657420246</v>
      </c>
      <c r="G84" s="17">
        <f t="shared" si="42"/>
        <v>0.2231423010562808</v>
      </c>
      <c r="H84" s="17">
        <f t="shared" si="42"/>
        <v>0.21576605614894265</v>
      </c>
      <c r="I84" s="17">
        <f t="shared" si="42"/>
        <v>0.20656071633700684</v>
      </c>
      <c r="J84" s="17">
        <f t="shared" si="42"/>
        <v>0.21564535312942013</v>
      </c>
      <c r="K84" s="17">
        <f t="shared" si="42"/>
        <v>0.2289107544668853</v>
      </c>
      <c r="L84" s="17">
        <f t="shared" si="42"/>
        <v>0.21796520304992667</v>
      </c>
      <c r="M84" s="17">
        <f>M83/M70</f>
        <v>0.24574774629017551</v>
      </c>
    </row>
    <row r="85" spans="4:13" x14ac:dyDescent="0.2">
      <c r="D85" t="s">
        <v>125</v>
      </c>
      <c r="F85" s="25">
        <f>(F84-E84)/E84</f>
        <v>-1.8505200438169018E-2</v>
      </c>
      <c r="G85" s="25">
        <f t="shared" ref="G85:L85" si="43">(G84-F84)/F84</f>
        <v>-0.31196696324382339</v>
      </c>
      <c r="H85" s="25">
        <f t="shared" si="43"/>
        <v>-3.3056237532827638E-2</v>
      </c>
      <c r="I85" s="25">
        <f t="shared" si="43"/>
        <v>-4.2663521668956983E-2</v>
      </c>
      <c r="J85" s="25">
        <f t="shared" si="43"/>
        <v>4.3980467116465471E-2</v>
      </c>
      <c r="K85" s="25">
        <f t="shared" si="43"/>
        <v>6.1514895382437998E-2</v>
      </c>
      <c r="L85" s="25">
        <f t="shared" si="43"/>
        <v>-4.7815802461749511E-2</v>
      </c>
    </row>
    <row r="86" spans="4:13" x14ac:dyDescent="0.2">
      <c r="F86" s="25"/>
      <c r="G86" s="25"/>
      <c r="H86" s="25"/>
      <c r="I86" s="25"/>
      <c r="J86" s="25"/>
      <c r="K86" s="25"/>
      <c r="L86" s="25"/>
    </row>
    <row r="87" spans="4:13" x14ac:dyDescent="0.2">
      <c r="D87" t="s">
        <v>94</v>
      </c>
      <c r="E87" s="18">
        <f>E60</f>
        <v>14420</v>
      </c>
      <c r="F87" s="18">
        <f t="shared" ref="F87:M87" si="44">F60</f>
        <v>14161.000000000002</v>
      </c>
      <c r="G87" s="18">
        <f t="shared" si="44"/>
        <v>13696</v>
      </c>
      <c r="H87" s="18">
        <f t="shared" si="44"/>
        <v>12655.999999999998</v>
      </c>
      <c r="I87" s="18">
        <f t="shared" si="44"/>
        <v>13023.5</v>
      </c>
      <c r="J87" s="18">
        <f t="shared" si="44"/>
        <v>12832.5</v>
      </c>
      <c r="K87" s="18">
        <f t="shared" si="44"/>
        <v>12818</v>
      </c>
      <c r="L87" s="18">
        <f t="shared" si="44"/>
        <v>12948.5</v>
      </c>
      <c r="M87" s="18">
        <f t="shared" si="44"/>
        <v>13049.999999999998</v>
      </c>
    </row>
    <row r="88" spans="4:13" x14ac:dyDescent="0.2">
      <c r="D88" t="s">
        <v>122</v>
      </c>
      <c r="E88" s="20">
        <f>E87/E67</f>
        <v>5.7154181529924693E-2</v>
      </c>
      <c r="F88" s="20">
        <f t="shared" ref="F88:L88" si="45">F87/F67</f>
        <v>5.6644000000000007E-2</v>
      </c>
      <c r="G88" s="20">
        <f t="shared" si="45"/>
        <v>5.5315024232633278E-2</v>
      </c>
      <c r="H88" s="20">
        <f t="shared" si="45"/>
        <v>5.1593966571545039E-2</v>
      </c>
      <c r="I88" s="20">
        <f t="shared" si="45"/>
        <v>5.2855113636363638E-2</v>
      </c>
      <c r="J88" s="20">
        <f t="shared" si="45"/>
        <v>5.3092676872155561E-2</v>
      </c>
      <c r="K88" s="20">
        <f t="shared" si="45"/>
        <v>5.408438818565401E-2</v>
      </c>
      <c r="L88" s="20">
        <f t="shared" si="45"/>
        <v>5.5740421868273785E-2</v>
      </c>
      <c r="M88" s="20">
        <f>M87/M70</f>
        <v>6.6623556497276526E-2</v>
      </c>
    </row>
    <row r="89" spans="4:13" x14ac:dyDescent="0.2">
      <c r="D89" t="s">
        <v>125</v>
      </c>
      <c r="E89" s="20"/>
      <c r="F89" s="25">
        <f>(F88-E88)/E88</f>
        <v>-8.9264077669901701E-3</v>
      </c>
      <c r="G89" s="25">
        <f t="shared" ref="G89:L89" si="46">(G88-F88)/F88</f>
        <v>-2.3461898301086234E-2</v>
      </c>
      <c r="H89" s="25">
        <f t="shared" si="46"/>
        <v>-6.7270288908108072E-2</v>
      </c>
      <c r="I89" s="25">
        <f t="shared" si="46"/>
        <v>2.4443692714918017E-2</v>
      </c>
      <c r="J89" s="25">
        <f t="shared" si="46"/>
        <v>4.4946121472054391E-3</v>
      </c>
      <c r="K89" s="25">
        <f t="shared" si="46"/>
        <v>1.8678871963574914E-2</v>
      </c>
      <c r="L89" s="25">
        <f t="shared" si="46"/>
        <v>3.0619440067162312E-2</v>
      </c>
    </row>
    <row r="90" spans="4:13" x14ac:dyDescent="0.2">
      <c r="E90" s="20"/>
      <c r="F90" s="25"/>
      <c r="G90" s="25"/>
      <c r="H90" s="25"/>
      <c r="I90" s="25"/>
      <c r="J90" s="25"/>
      <c r="K90" s="25"/>
      <c r="L90" s="25"/>
    </row>
    <row r="91" spans="4:13" x14ac:dyDescent="0.2">
      <c r="D91" t="s">
        <v>95</v>
      </c>
      <c r="E91">
        <f>E49</f>
        <v>4200.6605999999992</v>
      </c>
      <c r="F91">
        <f t="shared" ref="F91:M91" si="47">F49</f>
        <v>4778.1399499999998</v>
      </c>
      <c r="G91">
        <f t="shared" si="47"/>
        <v>5916.3762749999996</v>
      </c>
      <c r="H91">
        <f t="shared" si="47"/>
        <v>8214.0306</v>
      </c>
      <c r="I91">
        <f t="shared" si="47"/>
        <v>9480.4717999999993</v>
      </c>
      <c r="J91">
        <f t="shared" si="47"/>
        <v>9122.612975</v>
      </c>
      <c r="K91">
        <f t="shared" si="47"/>
        <v>8559.6263499999986</v>
      </c>
      <c r="L91">
        <f t="shared" si="47"/>
        <v>8353.3837249999997</v>
      </c>
      <c r="M91">
        <f t="shared" si="47"/>
        <v>8138.2224999999989</v>
      </c>
    </row>
    <row r="92" spans="4:13" x14ac:dyDescent="0.2">
      <c r="D92" t="s">
        <v>122</v>
      </c>
      <c r="E92" s="20">
        <f>E91/E67</f>
        <v>1.6649467300832339E-2</v>
      </c>
      <c r="F92" s="20">
        <f t="shared" ref="F92:L92" si="48">F91/F67</f>
        <v>1.9112559799999998E-2</v>
      </c>
      <c r="G92" s="20">
        <f t="shared" si="48"/>
        <v>2.3894896102584811E-2</v>
      </c>
      <c r="H92" s="20">
        <f t="shared" si="48"/>
        <v>3.3485652670199754E-2</v>
      </c>
      <c r="I92" s="20">
        <f t="shared" si="48"/>
        <v>3.8475940746753243E-2</v>
      </c>
      <c r="J92" s="20">
        <f t="shared" si="48"/>
        <v>3.7743537339677287E-2</v>
      </c>
      <c r="K92" s="20">
        <f t="shared" si="48"/>
        <v>3.6116566877637125E-2</v>
      </c>
      <c r="L92" s="20">
        <f t="shared" si="48"/>
        <v>3.5959465023676279E-2</v>
      </c>
      <c r="M92" s="20">
        <f>M91/M70</f>
        <v>4.1547687855644215E-2</v>
      </c>
    </row>
    <row r="93" spans="4:13" x14ac:dyDescent="0.2">
      <c r="D93" t="s">
        <v>125</v>
      </c>
      <c r="E93" s="20"/>
      <c r="F93" s="25">
        <f>(F92-E92)/E92</f>
        <v>0.14793821656050965</v>
      </c>
      <c r="G93" s="25">
        <f t="shared" ref="G93:L93" si="49">(G92-F92)/F92</f>
        <v>0.25021955994533046</v>
      </c>
      <c r="H93" s="25">
        <f t="shared" si="49"/>
        <v>0.40137259967317751</v>
      </c>
      <c r="I93" s="25">
        <f t="shared" si="49"/>
        <v>0.14902764851869077</v>
      </c>
      <c r="J93" s="25">
        <f t="shared" si="49"/>
        <v>-1.9035360613963909E-2</v>
      </c>
      <c r="K93" s="25">
        <f t="shared" si="49"/>
        <v>-4.310593486238596E-2</v>
      </c>
      <c r="L93" s="25">
        <f t="shared" si="49"/>
        <v>-4.3498556906891818E-3</v>
      </c>
    </row>
    <row r="94" spans="4:13" x14ac:dyDescent="0.2">
      <c r="E94" s="20"/>
      <c r="F94" s="25"/>
      <c r="G94" s="25"/>
      <c r="H94" s="25"/>
      <c r="I94" s="25"/>
      <c r="J94" s="25"/>
      <c r="K94" s="25"/>
      <c r="L94" s="25"/>
    </row>
    <row r="95" spans="4:13" x14ac:dyDescent="0.2">
      <c r="D95" t="s">
        <v>96</v>
      </c>
      <c r="E95" s="18">
        <f>E18</f>
        <v>5518.3333333333339</v>
      </c>
      <c r="F95" s="18">
        <f t="shared" ref="F95:M95" si="50">F18</f>
        <v>5623.333333333333</v>
      </c>
      <c r="G95" s="18">
        <f t="shared" si="50"/>
        <v>5735.7999999999993</v>
      </c>
      <c r="H95" s="18">
        <f t="shared" si="50"/>
        <v>5646.6666666666661</v>
      </c>
      <c r="I95" s="18">
        <f t="shared" si="50"/>
        <v>6206.666666666667</v>
      </c>
      <c r="J95" s="18">
        <f t="shared" si="50"/>
        <v>6393.333333333333</v>
      </c>
      <c r="K95" s="18">
        <f t="shared" si="50"/>
        <v>6137.6</v>
      </c>
      <c r="L95" s="18">
        <f t="shared" si="50"/>
        <v>5845.0000000000009</v>
      </c>
      <c r="M95" s="18">
        <f t="shared" si="50"/>
        <v>5774.9999999999991</v>
      </c>
    </row>
    <row r="96" spans="4:13" x14ac:dyDescent="0.2">
      <c r="D96" t="s">
        <v>122</v>
      </c>
      <c r="E96" s="20">
        <f>E95/E67</f>
        <v>2.1872109922050471E-2</v>
      </c>
      <c r="F96" s="20">
        <f t="shared" ref="F96:L96" si="51">F95/F67</f>
        <v>2.249333333333333E-2</v>
      </c>
      <c r="G96" s="20">
        <f t="shared" si="51"/>
        <v>2.3165589660743131E-2</v>
      </c>
      <c r="H96" s="20">
        <f t="shared" si="51"/>
        <v>2.301943198804185E-2</v>
      </c>
      <c r="I96" s="20">
        <f t="shared" si="51"/>
        <v>2.5189393939393942E-2</v>
      </c>
      <c r="J96" s="20">
        <f t="shared" si="51"/>
        <v>2.6451523927734106E-2</v>
      </c>
      <c r="K96" s="20">
        <f t="shared" si="51"/>
        <v>2.5897046413502111E-2</v>
      </c>
      <c r="L96" s="20">
        <f t="shared" si="51"/>
        <v>2.5161429186396904E-2</v>
      </c>
      <c r="M96" s="20">
        <f>M95/M70</f>
        <v>2.9482838220059149E-2</v>
      </c>
    </row>
    <row r="97" spans="4:13" x14ac:dyDescent="0.2">
      <c r="D97" t="s">
        <v>125</v>
      </c>
      <c r="E97" s="20"/>
      <c r="F97" s="25">
        <f>(F96-E96)/E96</f>
        <v>2.8402536997885593E-2</v>
      </c>
      <c r="G97" s="25">
        <f t="shared" ref="G97:L97" si="52">(G96-F96)/F96</f>
        <v>2.988691437802906E-2</v>
      </c>
      <c r="H97" s="25">
        <f t="shared" si="52"/>
        <v>-6.3092576032701955E-3</v>
      </c>
      <c r="I97" s="25">
        <f t="shared" si="52"/>
        <v>9.4266528925620138E-2</v>
      </c>
      <c r="J97" s="25">
        <f t="shared" si="52"/>
        <v>5.0105611567188457E-2</v>
      </c>
      <c r="K97" s="25">
        <f t="shared" si="52"/>
        <v>-2.0962025316455659E-2</v>
      </c>
      <c r="L97" s="25">
        <f t="shared" si="52"/>
        <v>-2.8405448843837017E-2</v>
      </c>
    </row>
    <row r="98" spans="4:13" x14ac:dyDescent="0.2">
      <c r="E98" s="20"/>
      <c r="F98" s="25"/>
      <c r="G98" s="25"/>
      <c r="H98" s="25"/>
      <c r="I98" s="25"/>
      <c r="J98" s="25"/>
      <c r="K98" s="25"/>
      <c r="L98" s="25"/>
    </row>
    <row r="99" spans="4:13" x14ac:dyDescent="0.2">
      <c r="D99" t="s">
        <v>120</v>
      </c>
      <c r="E99" s="18">
        <f>E37</f>
        <v>5867.5</v>
      </c>
      <c r="F99" s="18">
        <f t="shared" ref="F99:M99" si="53">F37</f>
        <v>5280.75</v>
      </c>
      <c r="G99" s="18">
        <f t="shared" si="53"/>
        <v>5398.0999999999995</v>
      </c>
      <c r="H99" s="18">
        <f t="shared" si="53"/>
        <v>5339.4249999999993</v>
      </c>
      <c r="I99" s="18">
        <f t="shared" si="53"/>
        <v>4811.3499999999995</v>
      </c>
      <c r="J99" s="18">
        <f t="shared" si="53"/>
        <v>4840.6875</v>
      </c>
      <c r="K99" s="18">
        <f t="shared" si="53"/>
        <v>4870.0249999999996</v>
      </c>
      <c r="L99" s="18">
        <f t="shared" si="53"/>
        <v>4752.6750000000002</v>
      </c>
      <c r="M99" s="18">
        <f t="shared" si="53"/>
        <v>4694</v>
      </c>
    </row>
    <row r="100" spans="4:13" x14ac:dyDescent="0.2">
      <c r="D100" t="s">
        <v>122</v>
      </c>
      <c r="E100" s="20">
        <f>E99/E67</f>
        <v>2.3256044391597303E-2</v>
      </c>
      <c r="F100" s="20">
        <f t="shared" ref="F100:L100" si="54">F99/F67</f>
        <v>2.1122999999999999E-2</v>
      </c>
      <c r="G100" s="20">
        <f t="shared" si="54"/>
        <v>2.1801696284329562E-2</v>
      </c>
      <c r="H100" s="20">
        <f t="shared" si="54"/>
        <v>2.1766918059518952E-2</v>
      </c>
      <c r="I100" s="20">
        <f t="shared" si="54"/>
        <v>1.952658279220779E-2</v>
      </c>
      <c r="J100" s="20">
        <f t="shared" si="54"/>
        <v>2.0027668597434836E-2</v>
      </c>
      <c r="K100" s="20">
        <f t="shared" si="54"/>
        <v>2.0548628691983119E-2</v>
      </c>
      <c r="L100" s="20">
        <f t="shared" si="54"/>
        <v>2.0459212225570383E-2</v>
      </c>
      <c r="M100" s="20">
        <f>M99/M70</f>
        <v>2.3964059325533797E-2</v>
      </c>
    </row>
    <row r="101" spans="4:13" x14ac:dyDescent="0.2">
      <c r="D101" t="s">
        <v>125</v>
      </c>
      <c r="F101" s="25">
        <f>(F100-E100)/E100</f>
        <v>-9.1719999999999968E-2</v>
      </c>
      <c r="G101" s="25">
        <f t="shared" ref="G101:L101" si="55">(G100-F100)/F100</f>
        <v>3.2130676718721905E-2</v>
      </c>
      <c r="H101" s="25">
        <f t="shared" si="55"/>
        <v>-1.5952072883249867E-3</v>
      </c>
      <c r="I101" s="25">
        <f t="shared" si="55"/>
        <v>-0.10292386185243321</v>
      </c>
      <c r="J101" s="25">
        <f t="shared" si="55"/>
        <v>2.5661725380183169E-2</v>
      </c>
      <c r="K101" s="25">
        <f t="shared" si="55"/>
        <v>2.6012018923411203E-2</v>
      </c>
      <c r="L101" s="25">
        <f t="shared" si="55"/>
        <v>-4.3514566228753659E-3</v>
      </c>
    </row>
    <row r="102" spans="4:13" x14ac:dyDescent="0.2">
      <c r="F102" s="25"/>
      <c r="G102" s="25"/>
      <c r="H102" s="25"/>
      <c r="I102" s="25"/>
      <c r="J102" s="25"/>
      <c r="K102" s="25"/>
      <c r="L102" s="25"/>
    </row>
    <row r="103" spans="4:13" x14ac:dyDescent="0.2">
      <c r="D103" t="s">
        <v>121</v>
      </c>
      <c r="E103" s="18">
        <f>E42</f>
        <v>1220.44</v>
      </c>
      <c r="F103" s="18">
        <f t="shared" ref="F103:M103" si="56">F42</f>
        <v>1279.115</v>
      </c>
      <c r="G103" s="18">
        <f t="shared" si="56"/>
        <v>1326.0549999999998</v>
      </c>
      <c r="H103" s="18">
        <f t="shared" si="56"/>
        <v>1361.26</v>
      </c>
      <c r="I103" s="18">
        <f t="shared" si="56"/>
        <v>1384.73</v>
      </c>
      <c r="J103" s="18">
        <f t="shared" si="56"/>
        <v>1302.585</v>
      </c>
      <c r="K103" s="18">
        <f t="shared" si="56"/>
        <v>1326.0549999999998</v>
      </c>
      <c r="L103" s="18">
        <f t="shared" si="56"/>
        <v>1384.73</v>
      </c>
      <c r="M103" s="18">
        <f t="shared" si="56"/>
        <v>1396.4649999999999</v>
      </c>
    </row>
    <row r="104" spans="4:13" x14ac:dyDescent="0.2">
      <c r="D104" t="s">
        <v>122</v>
      </c>
      <c r="E104" s="20">
        <f>E103/E67</f>
        <v>4.8372572334522395E-3</v>
      </c>
      <c r="F104" s="20">
        <f t="shared" ref="F104:L104" si="57">F103/F67</f>
        <v>5.1164599999999998E-3</v>
      </c>
      <c r="G104" s="20">
        <f t="shared" si="57"/>
        <v>5.3556340872374791E-3</v>
      </c>
      <c r="H104" s="20">
        <f t="shared" si="57"/>
        <v>5.5493681206685687E-3</v>
      </c>
      <c r="I104" s="20">
        <f t="shared" si="57"/>
        <v>5.6198457792207791E-3</v>
      </c>
      <c r="J104" s="20">
        <f t="shared" si="57"/>
        <v>5.3892635498551927E-3</v>
      </c>
      <c r="K104" s="20">
        <f t="shared" si="57"/>
        <v>5.5951687763713077E-3</v>
      </c>
      <c r="L104" s="20">
        <f t="shared" si="57"/>
        <v>5.96095566078347E-3</v>
      </c>
      <c r="M104" s="20">
        <f>M103/M70</f>
        <v>7.1293076493463038E-3</v>
      </c>
    </row>
    <row r="105" spans="4:13" x14ac:dyDescent="0.2">
      <c r="D105" t="s">
        <v>125</v>
      </c>
      <c r="F105" s="25">
        <f>(F104-E104)/E104</f>
        <v>5.7719230769230696E-2</v>
      </c>
      <c r="G105" s="25">
        <f t="shared" ref="G105:L105" si="58">(G104-F104)/F104</f>
        <v>4.6746009396629581E-2</v>
      </c>
      <c r="H105" s="25">
        <f t="shared" si="58"/>
        <v>3.6173874143634911E-2</v>
      </c>
      <c r="I105" s="25">
        <f t="shared" si="58"/>
        <v>1.2700123152709407E-2</v>
      </c>
      <c r="J105" s="25">
        <f t="shared" si="58"/>
        <v>-4.1029992356401965E-2</v>
      </c>
      <c r="K105" s="25">
        <f t="shared" si="58"/>
        <v>3.8206560991371007E-2</v>
      </c>
      <c r="L105" s="25">
        <f t="shared" si="58"/>
        <v>6.5375487144713057E-2</v>
      </c>
    </row>
    <row r="106" spans="4:13" x14ac:dyDescent="0.2">
      <c r="F106" s="25"/>
      <c r="G106" s="25"/>
      <c r="H106" s="25"/>
      <c r="I106" s="25"/>
      <c r="J106" s="25"/>
      <c r="K106" s="25"/>
      <c r="L106" s="25"/>
    </row>
    <row r="107" spans="4:13" x14ac:dyDescent="0.2">
      <c r="D107" t="s">
        <v>124</v>
      </c>
      <c r="E107" s="18">
        <f>E67-E70</f>
        <v>10659.397431134421</v>
      </c>
      <c r="F107" s="18">
        <f t="shared" ref="F107:L107" si="59">F67-F70</f>
        <v>10805.686690789182</v>
      </c>
      <c r="G107" s="18">
        <f t="shared" si="59"/>
        <v>33819.757038530865</v>
      </c>
      <c r="H107" s="18">
        <f t="shared" si="59"/>
        <v>32657.727333535324</v>
      </c>
      <c r="I107" s="18">
        <f t="shared" si="59"/>
        <v>31329.309278915141</v>
      </c>
      <c r="J107" s="18">
        <f t="shared" si="59"/>
        <v>27536.494150571496</v>
      </c>
      <c r="K107" s="18">
        <f t="shared" si="59"/>
        <v>31944.051593580982</v>
      </c>
      <c r="L107" s="18">
        <f t="shared" si="59"/>
        <v>32637.460693625704</v>
      </c>
      <c r="M107" s="18">
        <f t="shared" ref="M107" si="60">M67-M70</f>
        <v>32123.335857438593</v>
      </c>
    </row>
    <row r="108" spans="4:13" x14ac:dyDescent="0.2">
      <c r="D108" t="s">
        <v>122</v>
      </c>
      <c r="E108" s="17">
        <f>E107/E67</f>
        <v>4.2248899845954896E-2</v>
      </c>
      <c r="F108" s="17">
        <f t="shared" ref="F108:M108" si="61">F107/F67</f>
        <v>4.3222746763156725E-2</v>
      </c>
      <c r="G108" s="17">
        <f t="shared" si="61"/>
        <v>0.13659029498598896</v>
      </c>
      <c r="H108" s="17">
        <f t="shared" si="61"/>
        <v>0.13313382524881909</v>
      </c>
      <c r="I108" s="17">
        <f t="shared" si="61"/>
        <v>0.12714817077481794</v>
      </c>
      <c r="J108" s="17">
        <f t="shared" si="61"/>
        <v>0.11392839946450764</v>
      </c>
      <c r="K108" s="17">
        <f t="shared" si="61"/>
        <v>0.13478502782101681</v>
      </c>
      <c r="L108" s="17">
        <f t="shared" si="61"/>
        <v>0.14049703268887517</v>
      </c>
      <c r="M108" s="17">
        <f t="shared" si="61"/>
        <v>0.14089182393613417</v>
      </c>
    </row>
    <row r="109" spans="4:13" x14ac:dyDescent="0.2">
      <c r="D109" t="s">
        <v>125</v>
      </c>
      <c r="F109" s="25">
        <f>(F108-E108)/E108</f>
        <v>2.305023138478408E-2</v>
      </c>
      <c r="G109" s="25">
        <f t="shared" ref="G109:M109" si="62">(G108-F108)/F108</f>
        <v>2.1601484221826266</v>
      </c>
      <c r="H109" s="25">
        <f t="shared" si="62"/>
        <v>-2.53053830619842E-2</v>
      </c>
      <c r="I109" s="25">
        <f t="shared" si="62"/>
        <v>-4.4959682205587673E-2</v>
      </c>
      <c r="J109" s="25">
        <f t="shared" si="62"/>
        <v>-0.10397138417132865</v>
      </c>
      <c r="K109" s="25">
        <f t="shared" si="62"/>
        <v>0.18306786064353237</v>
      </c>
      <c r="L109" s="25">
        <f t="shared" si="62"/>
        <v>4.2378630328610563E-2</v>
      </c>
      <c r="M109" s="25">
        <f t="shared" si="62"/>
        <v>2.8099614611309643E-3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4CF95A702BAC64990F6FBA2C2B5301E" ma:contentTypeVersion="4" ma:contentTypeDescription="Create a new document." ma:contentTypeScope="" ma:versionID="7016b74b3ec4eb847c421b5a7853edf2">
  <xsd:schema xmlns:xsd="http://www.w3.org/2001/XMLSchema" xmlns:xs="http://www.w3.org/2001/XMLSchema" xmlns:p="http://schemas.microsoft.com/office/2006/metadata/properties" xmlns:ns2="e40dcee9-e4d5-49a3-8c80-2e94e886c646" targetNamespace="http://schemas.microsoft.com/office/2006/metadata/properties" ma:root="true" ma:fieldsID="cc5538407d682604aee7c1c72f29f7b2" ns2:_="">
    <xsd:import namespace="e40dcee9-e4d5-49a3-8c80-2e94e886c6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0dcee9-e4d5-49a3-8c80-2e94e886c6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B87BC3-CD91-418E-838E-7C3107EDBEA3}">
  <ds:schemaRefs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e40dcee9-e4d5-49a3-8c80-2e94e886c64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B975D7E-8A7C-4956-AB31-B5F26DD8EE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40dcee9-e4d5-49a3-8c80-2e94e886c64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C1BF8E3-CD4E-4C93-835D-6E397956F18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dc46140c-e26f-43ef-b0ae-00f257f478ff}" enabled="0" method="" siteId="{dc46140c-e26f-43ef-b0ae-00f257f478ff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Charts</vt:lpstr>
      </vt:variant>
      <vt:variant>
        <vt:i4>6</vt:i4>
      </vt:variant>
    </vt:vector>
  </HeadingPairs>
  <TitlesOfParts>
    <vt:vector size="14" baseType="lpstr">
      <vt:lpstr>overveiw</vt:lpstr>
      <vt:lpstr>FCFF model</vt:lpstr>
      <vt:lpstr>WACC</vt:lpstr>
      <vt:lpstr>Data Quarters</vt:lpstr>
      <vt:lpstr>data year model</vt:lpstr>
      <vt:lpstr>Rev model</vt:lpstr>
      <vt:lpstr>Elastcity assumption</vt:lpstr>
      <vt:lpstr>volumes of beer</vt:lpstr>
      <vt:lpstr>cap table pie chart </vt:lpstr>
      <vt:lpstr>beer volums chart</vt:lpstr>
      <vt:lpstr>net sales chart</vt:lpstr>
      <vt:lpstr>demographic charts </vt:lpstr>
      <vt:lpstr>stz chart of volume and share </vt:lpstr>
      <vt:lpstr>PV FCFF &amp; PV TV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nathan Dracobly</dc:creator>
  <cp:keywords/>
  <dc:description/>
  <cp:lastModifiedBy>Nathan Dracobly</cp:lastModifiedBy>
  <cp:revision/>
  <dcterms:created xsi:type="dcterms:W3CDTF">2025-09-17T19:20:30Z</dcterms:created>
  <dcterms:modified xsi:type="dcterms:W3CDTF">2025-10-20T00:55:22Z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0x010100B4CF95A702BAC64990F6FBA2C2B5301E</vt:lpwstr>
  </property>
</Properties>
</file>